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05" windowWidth="15360" windowHeight="8430" activeTab="0"/>
  </bookViews>
  <sheets>
    <sheet name="Assumptions" sheetId="1" r:id="rId1"/>
    <sheet name="DTS-T" sheetId="2" r:id="rId2"/>
    <sheet name="DTS-D1" sheetId="3" r:id="rId3"/>
    <sheet name="DTS-D2" sheetId="4" r:id="rId4"/>
    <sheet name="Tariff Rates &amp; Loss Factors" sheetId="5" r:id="rId5"/>
  </sheets>
  <definedNames>
    <definedName name="AVG_HOURS_IN_MONTH">730</definedName>
    <definedName name="CHARPER">'Assumptions'!$C$6</definedName>
    <definedName name="CMCR">'Tariff Rates &amp; Loss Factors'!$B$9</definedName>
    <definedName name="CMCR_IRL">'Tariff Rates &amp; Loss Factors'!#REF!</definedName>
    <definedName name="CONN_TO">'Tariff Rates &amp; Loss Factors'!$F$17:$G$18</definedName>
    <definedName name="CUST">'Assumptions'!$C$8</definedName>
    <definedName name="DLAF">'Tariff Rates &amp; Loss Factors'!$D$4:$G$7</definedName>
    <definedName name="DLF">'Assumptions'!$C$13</definedName>
    <definedName name="HADLAF">MAX('DTS-D1'!$C$17:$C$18)</definedName>
    <definedName name="HMD_DTS_D1">'DTS-D1'!$C$27</definedName>
    <definedName name="HMD_DTS_T">'DTS-T'!$C$12</definedName>
    <definedName name="IRL_PER_EURO">0.787564</definedName>
    <definedName name="LF">'Assumptions'!$C$12</definedName>
    <definedName name="MIC">'Assumptions'!$C$11</definedName>
    <definedName name="NCCR_D1">'Tariff Rates &amp; Loss Factors'!$B$4</definedName>
    <definedName name="NCCR_D1_IRL">'Tariff Rates &amp; Loss Factors'!#REF!</definedName>
    <definedName name="NCCR_D2">'Tariff Rates &amp; Loss Factors'!$B$5</definedName>
    <definedName name="NCCR_D2_IRL">'Tariff Rates &amp; Loss Factors'!#REF!</definedName>
    <definedName name="NCCR_T">'Tariff Rates &amp; Loss Factors'!$B$3</definedName>
    <definedName name="NCCR_T_IRL">'Tariff Rates &amp; Loss Factors'!#REF!</definedName>
    <definedName name="NTCR">'Tariff Rates &amp; Loss Factors'!$B$7</definedName>
    <definedName name="NTCR_IRL">'Tariff Rates &amp; Loss Factors'!#REF!</definedName>
    <definedName name="NUUCR">'Tariff Rates &amp; Loss Factors'!$B$6</definedName>
    <definedName name="NUUCR_IRL">'Tariff Rates &amp; Loss Factors'!#REF!</definedName>
    <definedName name="PKLOAD">'Assumptions'!$C$14</definedName>
    <definedName name="_xlnm.Print_Area" localSheetId="0">'Assumptions'!$A$2:$E$28</definedName>
    <definedName name="_xlnm.Print_Area" localSheetId="2">'DTS-D1'!$A$1:$E$50</definedName>
    <definedName name="_xlnm.Print_Area" localSheetId="3">'DTS-D2'!$A$1:$E$48</definedName>
    <definedName name="_xlnm.Print_Area" localSheetId="1">'DTS-T'!$A$1:$E$48</definedName>
    <definedName name="SSCR">'Tariff Rates &amp; Loss Factors'!$B$8</definedName>
    <definedName name="SSCR_IRL">'Tariff Rates &amp; Loss Factors'!#REF!</definedName>
    <definedName name="SUPP">'Assumptions'!$C$7</definedName>
    <definedName name="TAR_EFF_DATE">'Tariff Rates &amp; Loss Factors'!$B$10</definedName>
    <definedName name="TARIFF_SELECT">'Assumptions'!$C$16</definedName>
    <definedName name="TARIFFS">'Tariff Rates &amp; Loss Factors'!$F$11:$G$13</definedName>
    <definedName name="UUMWh">'Assumptions'!$C$15</definedName>
    <definedName name="VALID_D1">'Tariff Rates &amp; Loss Factors'!$H$13</definedName>
    <definedName name="VALID_D2">'Tariff Rates &amp; Loss Factors'!$H$11</definedName>
    <definedName name="VALID_T">'Tariff Rates &amp; Loss Factors'!$H$12</definedName>
    <definedName name="VAT">'Tariff Rates &amp; Loss Factors'!$D$11</definedName>
  </definedNames>
  <calcPr fullCalcOnLoad="1"/>
</workbook>
</file>

<file path=xl/comments1.xml><?xml version="1.0" encoding="utf-8"?>
<comments xmlns="http://schemas.openxmlformats.org/spreadsheetml/2006/main">
  <authors>
    <author>Dean Short</author>
  </authors>
  <commentList>
    <comment ref="B14" authorId="0">
      <text>
        <r>
          <rPr>
            <sz val="8"/>
            <rFont val="Tahoma"/>
            <family val="0"/>
          </rPr>
          <t>Peak is assumed to occur during Day Hours.  Day Hours DLAF is applied to the value to determine the HMD at the grid exit point.</t>
        </r>
      </text>
    </comment>
    <comment ref="B15" authorId="0">
      <text>
        <r>
          <rPr>
            <sz val="8"/>
            <rFont val="Tahoma"/>
            <family val="0"/>
          </rPr>
          <t>Peak is assumed to occur during Day Hours.  Day Hours DLAF is applied to the value to determine the unauthorised usage at the grid exit point.</t>
        </r>
      </text>
    </comment>
  </commentList>
</comments>
</file>

<file path=xl/sharedStrings.xml><?xml version="1.0" encoding="utf-8"?>
<sst xmlns="http://schemas.openxmlformats.org/spreadsheetml/2006/main" count="145" uniqueCount="102">
  <si>
    <t>VAT</t>
  </si>
  <si>
    <t>Charging Period</t>
  </si>
  <si>
    <t>Supplier</t>
  </si>
  <si>
    <t>Supplier's Customer</t>
  </si>
  <si>
    <t>DTS-T</t>
  </si>
  <si>
    <t>Connection Voltage</t>
  </si>
  <si>
    <t>Network Capacity Charge Rate (DTS-T)</t>
  </si>
  <si>
    <t>Network Unauthorised Usage Charge Rate</t>
  </si>
  <si>
    <t>Network Transfer Charge Rate</t>
  </si>
  <si>
    <t>System Services Charge Rate</t>
  </si>
  <si>
    <t>(a) Network Capacity Charge</t>
  </si>
  <si>
    <t xml:space="preserve">     MIC</t>
  </si>
  <si>
    <t>80% of MIC</t>
  </si>
  <si>
    <t>MIC minus 4 MW</t>
  </si>
  <si>
    <t xml:space="preserve">     Highest Metered Demand</t>
  </si>
  <si>
    <t xml:space="preserve">     Charging Capacity</t>
  </si>
  <si>
    <t>(b) Network Unauthorised Usage Charge</t>
  </si>
  <si>
    <t xml:space="preserve">     Unauthorised Usage</t>
  </si>
  <si>
    <t>(c) Network Transfer Charge</t>
  </si>
  <si>
    <t xml:space="preserve">     Total Metered Energy Transferred</t>
  </si>
  <si>
    <t>(d) System Services Charge</t>
  </si>
  <si>
    <t>Total Account Charges before VAT</t>
  </si>
  <si>
    <t xml:space="preserve">     VAT</t>
  </si>
  <si>
    <t>Total Account Charges after VAT</t>
  </si>
  <si>
    <t>DTS-D2</t>
  </si>
  <si>
    <t>Network Capacity Charge Rate (DTS-D2)</t>
  </si>
  <si>
    <t xml:space="preserve">     Metered Energy Transferred in Day Hours</t>
  </si>
  <si>
    <t>(b) Network Transfer Charge</t>
  </si>
  <si>
    <t>(c) System Services Charge</t>
  </si>
  <si>
    <t>DLAF TABLE</t>
  </si>
  <si>
    <t>DAY</t>
  </si>
  <si>
    <t>NIGHT</t>
  </si>
  <si>
    <t>DTS-D1</t>
  </si>
  <si>
    <t>Network Capacity Charge Rate (DTS-D1)</t>
  </si>
  <si>
    <t>MIC x HADLAF</t>
  </si>
  <si>
    <t>80% of MIC x HADLAF</t>
  </si>
  <si>
    <t>MIC x HADLAF minus 4 MW</t>
  </si>
  <si>
    <t>Demand TUoS Sample Charges</t>
  </si>
  <si>
    <t>XYZ Factory</t>
  </si>
  <si>
    <t>Tariff Parameters</t>
  </si>
  <si>
    <t>if none select "0"</t>
  </si>
  <si>
    <t>Transmission System</t>
  </si>
  <si>
    <t>Distribution System</t>
  </si>
  <si>
    <t>Box 2 Output</t>
  </si>
  <si>
    <t>38 kV</t>
  </si>
  <si>
    <t>MV (10/20kV)</t>
  </si>
  <si>
    <t>LV (&lt;10 kV)</t>
  </si>
  <si>
    <t>110 kV or higher</t>
  </si>
  <si>
    <t>VOLTAGE LEVEL</t>
  </si>
  <si>
    <t>LU</t>
  </si>
  <si>
    <t>CONN TO</t>
  </si>
  <si>
    <t>Box 3 Output</t>
  </si>
  <si>
    <t>TARIFF</t>
  </si>
  <si>
    <t>Customer Parameters</t>
  </si>
  <si>
    <t>ABC Energy Plc.</t>
  </si>
  <si>
    <r>
      <t xml:space="preserve">EXAMPLE CHARGES: </t>
    </r>
    <r>
      <rPr>
        <b/>
        <sz val="12"/>
        <rFont val="Arial"/>
        <family val="2"/>
      </rPr>
      <t>TARIFF SCHEDULE DTS-T</t>
    </r>
  </si>
  <si>
    <t>required if MIC is "0"</t>
  </si>
  <si>
    <t>Input Assumptions</t>
  </si>
  <si>
    <t>Day Hours in month</t>
  </si>
  <si>
    <t>Charge Calculation</t>
  </si>
  <si>
    <t>Values</t>
  </si>
  <si>
    <t>€ Euro</t>
  </si>
  <si>
    <t>Total Metered Energy Transferred</t>
  </si>
  <si>
    <t>Day Time Metered Energy Transferred</t>
  </si>
  <si>
    <t>Value €</t>
  </si>
  <si>
    <r>
      <t xml:space="preserve">EXAMPLE CHARGES: </t>
    </r>
    <r>
      <rPr>
        <b/>
        <sz val="12"/>
        <rFont val="Arial"/>
        <family val="2"/>
      </rPr>
      <t>TARIFF SCHEDULE DTS-D1</t>
    </r>
  </si>
  <si>
    <t>Load Factor *</t>
  </si>
  <si>
    <t>Day Load Factor * (Day Hours - 8am to 11pm)</t>
  </si>
  <si>
    <t>Distribution Loss Factor - Day Hours</t>
  </si>
  <si>
    <t>Distribution Loss Factor - Night Hours</t>
  </si>
  <si>
    <t>Adjusted Day Hours Metered Energy Transfer</t>
  </si>
  <si>
    <t>Adjusted Nights Hours Metered Energy Transfer</t>
  </si>
  <si>
    <t>Adjusted Total Hours Metered Energy Transfer</t>
  </si>
  <si>
    <r>
      <t>DTS-D1</t>
    </r>
    <r>
      <rPr>
        <sz val="10"/>
        <rFont val="Arial"/>
        <family val="0"/>
      </rPr>
      <t xml:space="preserve"> per unit charges before VAT
</t>
    </r>
    <r>
      <rPr>
        <i/>
        <sz val="9"/>
        <rFont val="Arial"/>
        <family val="2"/>
      </rPr>
      <t>(based on customer consumption before loss adjustment)</t>
    </r>
  </si>
  <si>
    <r>
      <t>DTS-T</t>
    </r>
    <r>
      <rPr>
        <sz val="10"/>
        <rFont val="Arial"/>
        <family val="0"/>
      </rPr>
      <t xml:space="preserve"> per unit charges before VAT</t>
    </r>
  </si>
  <si>
    <r>
      <t>DTS-D2</t>
    </r>
    <r>
      <rPr>
        <sz val="10"/>
        <rFont val="Arial"/>
        <family val="0"/>
      </rPr>
      <t xml:space="preserve"> per unit charges before VAT
</t>
    </r>
    <r>
      <rPr>
        <i/>
        <sz val="9"/>
        <rFont val="Arial"/>
        <family val="2"/>
      </rPr>
      <t>(based on customer consumption before loss adjustment)</t>
    </r>
  </si>
  <si>
    <r>
      <t>DTS-T</t>
    </r>
    <r>
      <rPr>
        <sz val="10"/>
        <rFont val="Arial"/>
        <family val="0"/>
      </rPr>
      <t xml:space="preserve"> per unit charges total</t>
    </r>
  </si>
  <si>
    <r>
      <t xml:space="preserve">EXAMPLE CHARGES: </t>
    </r>
    <r>
      <rPr>
        <b/>
        <sz val="12"/>
        <rFont val="Arial"/>
        <family val="2"/>
      </rPr>
      <t>TARIFF SCHEDULE DTS-D2</t>
    </r>
  </si>
  <si>
    <t>VALID</t>
  </si>
  <si>
    <t>Total Average Hours in Month</t>
  </si>
  <si>
    <t>Connection to</t>
  </si>
  <si>
    <t>Applicable Tariff Schedule</t>
  </si>
  <si>
    <t>**based on customer consumption before distribution loss adjustment if applicable</t>
  </si>
  <si>
    <r>
      <t>DTS-D1</t>
    </r>
    <r>
      <rPr>
        <sz val="10"/>
        <rFont val="Arial"/>
        <family val="0"/>
      </rPr>
      <t xml:space="preserve"> per unit charges after VAT
</t>
    </r>
    <r>
      <rPr>
        <i/>
        <sz val="9"/>
        <rFont val="Arial"/>
        <family val="2"/>
      </rPr>
      <t>(based on customer consumption before loss adjustment)</t>
    </r>
  </si>
  <si>
    <r>
      <t>DTS-D2</t>
    </r>
    <r>
      <rPr>
        <sz val="10"/>
        <rFont val="Arial"/>
        <family val="0"/>
      </rPr>
      <t xml:space="preserve"> per unit charges after VAT
</t>
    </r>
    <r>
      <rPr>
        <i/>
        <sz val="9"/>
        <rFont val="Arial"/>
        <family val="2"/>
      </rPr>
      <t>(based on customer consumption before loss adjustment)</t>
    </r>
  </si>
  <si>
    <t>(d) Capacity Margin Charge</t>
  </si>
  <si>
    <t>Tariffs approved by the CER effective</t>
  </si>
  <si>
    <t>Tariff Effective Date</t>
  </si>
  <si>
    <t>(e) Capacity Margin Charge</t>
  </si>
  <si>
    <t>Highest Metered Demand @ exit point *</t>
  </si>
  <si>
    <t>Maximum Import Capacity @ exit point *</t>
  </si>
  <si>
    <t>Unauthorised Usage estimate *</t>
  </si>
  <si>
    <t xml:space="preserve">For MIC values in MVa multiply by 0.95 MW/MVa </t>
  </si>
  <si>
    <t xml:space="preserve">* input based on demand &amp; consumption at customer location exclusive of application of distribution loss factors </t>
  </si>
  <si>
    <r>
      <t>Disclaimer:</t>
    </r>
    <r>
      <rPr>
        <sz val="6"/>
        <rFont val="Arial"/>
        <family val="2"/>
      </rPr>
      <t xml:space="preserve">
EirGrid has provided this program as an aid to Suppliers and Demand Customers. Although every effort has been made to ensure the accuracy of the material contained in this spreadsheet, complete accuracy cannot be guaranteed. EirGrid cannot accept any responsibility whatsoever for loss or damage occasioned or claimed to have been occasioned, in part or in full, as a consequence of any person acting, or refraining from acting, as a result of a matter contained in this spreadsheet.</t>
    </r>
  </si>
  <si>
    <t>Demand Side Management Charge Rate</t>
  </si>
  <si>
    <t>October 1st 2009</t>
  </si>
  <si>
    <t>01-31 Oct 2009</t>
  </si>
  <si>
    <t>MIC</t>
  </si>
  <si>
    <t>Highest Metered Demand</t>
  </si>
  <si>
    <t>Highest Metered Demand x HADLAF</t>
  </si>
  <si>
    <t>Terms and values used to find the "Charging Capacity"</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</si>
</sst>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d\,\ yyyy"/>
    <numFmt numFmtId="169" formatCode="\€\ #,##0.00&quot;/MWh&quot;"/>
    <numFmt numFmtId="170" formatCode="\€\ #,##0.00"/>
    <numFmt numFmtId="171" formatCode="0.0%"/>
    <numFmt numFmtId="172" formatCode="0\ &quot;kV&quot;"/>
    <numFmt numFmtId="173" formatCode="#,##0.000\ &quot;MW&quot;"/>
    <numFmt numFmtId="174" formatCode="#,##0.000\ &quot;MWh&quot;"/>
    <numFmt numFmtId="175" formatCode="0.000"/>
    <numFmt numFmtId="176" formatCode="\£\ #,##0.00&quot;/MW/Month&quot;"/>
    <numFmt numFmtId="177" formatCode="\£\ #,##0.00&quot;/MWh&quot;"/>
    <numFmt numFmtId="178" formatCode="\£\ #,##0&quot;/MWh&quot;"/>
    <numFmt numFmtId="179" formatCode="\£\ #,##0.00"/>
    <numFmt numFmtId="180" formatCode="0.000&quot; ¢/kWh&quot;"/>
    <numFmt numFmtId="181" formatCode="0.000&quot; p/kWh&quot;"/>
    <numFmt numFmtId="182" formatCode="\€\ #,##0.0000&quot;/MW/Month&quot;"/>
    <numFmt numFmtId="183" formatCode="\£\ #,##0.0000&quot;/MWh&quot;"/>
    <numFmt numFmtId="184" formatCode="\€\ #,##0.0000&quot;/MWh&quot;"/>
    <numFmt numFmtId="185" formatCode="\£\ #,##0.0000&quot;/MW/Month&quot;"/>
  </numFmts>
  <fonts count="22">
    <font>
      <sz val="10"/>
      <name val="Arial"/>
      <family val="0"/>
    </font>
    <font>
      <sz val="10"/>
      <color indexed="8"/>
      <name val="MS Sans Serif"/>
      <family val="0"/>
    </font>
    <font>
      <b/>
      <sz val="12"/>
      <name val="Arial"/>
      <family val="2"/>
    </font>
    <font>
      <sz val="10"/>
      <color indexed="9"/>
      <name val="Arial"/>
      <family val="2"/>
    </font>
    <font>
      <b/>
      <sz val="10"/>
      <color indexed="9"/>
      <name val="Arial"/>
      <family val="2"/>
    </font>
    <font>
      <sz val="10"/>
      <color indexed="10"/>
      <name val="Arial"/>
      <family val="2"/>
    </font>
    <font>
      <b/>
      <sz val="10"/>
      <name val="Arial"/>
      <family val="2"/>
    </font>
    <font>
      <sz val="8"/>
      <name val="Tahoma"/>
      <family val="2"/>
    </font>
    <font>
      <sz val="12"/>
      <name val="Arial"/>
      <family val="2"/>
    </font>
    <font>
      <i/>
      <sz val="9"/>
      <name val="Arial"/>
      <family val="2"/>
    </font>
    <font>
      <b/>
      <sz val="10"/>
      <color indexed="12"/>
      <name val="Arial"/>
      <family val="2"/>
    </font>
    <font>
      <b/>
      <sz val="9"/>
      <color indexed="10"/>
      <name val="Arial"/>
      <family val="2"/>
    </font>
    <font>
      <sz val="8"/>
      <name val="Arial"/>
      <family val="2"/>
    </font>
    <font>
      <sz val="6"/>
      <name val="Arial"/>
      <family val="2"/>
    </font>
    <font>
      <b/>
      <u val="single"/>
      <sz val="6"/>
      <name val="Arial"/>
      <family val="2"/>
    </font>
    <font>
      <b/>
      <u val="single"/>
      <sz val="8"/>
      <name val="Arial"/>
      <family val="2"/>
    </font>
    <font>
      <sz val="10"/>
      <color indexed="12"/>
      <name val="Arial"/>
      <family val="2"/>
    </font>
    <font>
      <i/>
      <sz val="8"/>
      <name val="Arial"/>
      <family val="2"/>
    </font>
    <font>
      <b/>
      <sz val="8"/>
      <color indexed="10"/>
      <name val="Arial"/>
      <family val="2"/>
    </font>
    <font>
      <u val="single"/>
      <sz val="12.5"/>
      <color indexed="12"/>
      <name val="Arial"/>
      <family val="0"/>
    </font>
    <font>
      <u val="single"/>
      <sz val="12.5"/>
      <color indexed="36"/>
      <name val="Arial"/>
      <family val="0"/>
    </font>
    <font>
      <b/>
      <sz val="8"/>
      <name val="Arial"/>
      <family val="2"/>
    </font>
  </fonts>
  <fills count="12">
    <fill>
      <patternFill/>
    </fill>
    <fill>
      <patternFill patternType="gray125"/>
    </fill>
    <fill>
      <patternFill patternType="solid">
        <fgColor indexed="58"/>
        <bgColor indexed="64"/>
      </patternFill>
    </fill>
    <fill>
      <patternFill patternType="solid">
        <fgColor indexed="62"/>
        <bgColor indexed="64"/>
      </patternFill>
    </fill>
    <fill>
      <patternFill patternType="solid">
        <fgColor indexed="26"/>
        <bgColor indexed="64"/>
      </patternFill>
    </fill>
    <fill>
      <patternFill patternType="gray0625">
        <fgColor indexed="9"/>
        <bgColor indexed="26"/>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10">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thin"/>
      <bottom style="double"/>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127">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3" fillId="2" borderId="0" xfId="21" applyFont="1" applyFill="1" applyBorder="1" applyAlignment="1">
      <alignment horizontal="center"/>
      <protection/>
    </xf>
    <xf numFmtId="0" fontId="4" fillId="3" borderId="0" xfId="0" applyFont="1" applyFill="1" applyAlignment="1">
      <alignment horizontal="left"/>
    </xf>
    <xf numFmtId="0" fontId="6" fillId="4" borderId="0" xfId="0" applyFont="1" applyFill="1" applyAlignment="1">
      <alignment/>
    </xf>
    <xf numFmtId="173" fontId="0" fillId="0" borderId="0" xfId="0" applyNumberFormat="1" applyFont="1" applyFill="1" applyAlignment="1">
      <alignment horizontal="center"/>
    </xf>
    <xf numFmtId="0" fontId="6" fillId="5" borderId="0" xfId="0" applyFont="1" applyFill="1" applyAlignment="1">
      <alignment/>
    </xf>
    <xf numFmtId="0" fontId="0" fillId="6" borderId="0" xfId="0" applyFill="1" applyAlignment="1">
      <alignment vertical="center"/>
    </xf>
    <xf numFmtId="0" fontId="0" fillId="6" borderId="0" xfId="0" applyFill="1" applyAlignment="1">
      <alignment horizontal="center"/>
    </xf>
    <xf numFmtId="0" fontId="8" fillId="0" borderId="0" xfId="0" applyFont="1" applyAlignment="1">
      <alignment vertical="center"/>
    </xf>
    <xf numFmtId="0" fontId="0" fillId="6" borderId="0" xfId="0" applyFill="1" applyAlignment="1">
      <alignment horizontal="center" vertical="center"/>
    </xf>
    <xf numFmtId="174" fontId="0" fillId="0" borderId="0" xfId="0" applyNumberFormat="1" applyFont="1" applyFill="1" applyAlignment="1">
      <alignment horizontal="center"/>
    </xf>
    <xf numFmtId="176" fontId="0" fillId="0" borderId="0" xfId="0" applyNumberFormat="1" applyFont="1" applyFill="1" applyAlignment="1">
      <alignment horizontal="center"/>
    </xf>
    <xf numFmtId="177" fontId="0" fillId="0" borderId="0" xfId="0" applyNumberFormat="1" applyFont="1" applyFill="1" applyAlignment="1">
      <alignment horizontal="center"/>
    </xf>
    <xf numFmtId="179" fontId="6" fillId="0" borderId="0" xfId="0" applyNumberFormat="1" applyFont="1" applyFill="1" applyAlignment="1">
      <alignment horizontal="center"/>
    </xf>
    <xf numFmtId="0" fontId="0" fillId="0" borderId="0" xfId="0" applyFill="1" applyAlignment="1">
      <alignment horizontal="center" vertical="center"/>
    </xf>
    <xf numFmtId="0" fontId="0" fillId="0" borderId="0" xfId="0" applyFill="1" applyAlignment="1">
      <alignment horizontal="center"/>
    </xf>
    <xf numFmtId="174" fontId="0" fillId="0" borderId="0" xfId="0" applyNumberFormat="1" applyFill="1" applyAlignment="1">
      <alignment horizontal="center"/>
    </xf>
    <xf numFmtId="179" fontId="6" fillId="0" borderId="0" xfId="0" applyNumberFormat="1" applyFont="1" applyFill="1" applyBorder="1" applyAlignment="1">
      <alignment horizontal="center"/>
    </xf>
    <xf numFmtId="0" fontId="0" fillId="0" borderId="0" xfId="0" applyAlignment="1">
      <alignment horizontal="centerContinuous"/>
    </xf>
    <xf numFmtId="173" fontId="0" fillId="0" borderId="0" xfId="0" applyNumberFormat="1" applyFont="1" applyFill="1" applyAlignment="1">
      <alignment horizontal="centerContinuous"/>
    </xf>
    <xf numFmtId="9" fontId="0" fillId="0" borderId="0" xfId="22" applyAlignment="1">
      <alignment horizontal="centerContinuous"/>
    </xf>
    <xf numFmtId="1" fontId="0" fillId="0" borderId="0" xfId="0" applyNumberFormat="1" applyFont="1" applyFill="1" applyAlignment="1">
      <alignment horizontal="centerContinuous"/>
    </xf>
    <xf numFmtId="174" fontId="0" fillId="0" borderId="0" xfId="0" applyNumberFormat="1" applyFont="1" applyFill="1" applyAlignment="1">
      <alignment horizontal="centerContinuous"/>
    </xf>
    <xf numFmtId="0" fontId="0" fillId="0" borderId="1" xfId="0" applyBorder="1" applyAlignment="1">
      <alignment/>
    </xf>
    <xf numFmtId="0" fontId="0" fillId="0" borderId="2" xfId="0" applyFill="1" applyBorder="1" applyAlignment="1">
      <alignment horizontal="center"/>
    </xf>
    <xf numFmtId="0" fontId="0" fillId="0" borderId="3" xfId="0" applyBorder="1" applyAlignment="1">
      <alignment/>
    </xf>
    <xf numFmtId="0" fontId="0" fillId="0" borderId="4" xfId="0" applyFill="1" applyBorder="1" applyAlignment="1">
      <alignment horizontal="center"/>
    </xf>
    <xf numFmtId="9" fontId="0" fillId="0" borderId="0" xfId="22" applyAlignment="1">
      <alignment horizontal="centerContinuous"/>
    </xf>
    <xf numFmtId="175" fontId="0" fillId="0" borderId="0" xfId="0" applyNumberFormat="1" applyFont="1" applyFill="1" applyAlignment="1">
      <alignment horizontal="centerContinuous"/>
    </xf>
    <xf numFmtId="0" fontId="0" fillId="6" borderId="0" xfId="0" applyFill="1" applyAlignment="1">
      <alignment horizontal="left" vertical="center"/>
    </xf>
    <xf numFmtId="0" fontId="3" fillId="2" borderId="0" xfId="21" applyFont="1" applyFill="1" applyBorder="1" applyAlignment="1">
      <alignment horizontal="left"/>
      <protection/>
    </xf>
    <xf numFmtId="0" fontId="0" fillId="6" borderId="0" xfId="0" applyFill="1" applyAlignment="1">
      <alignment horizontal="left"/>
    </xf>
    <xf numFmtId="0" fontId="0" fillId="0" borderId="0" xfId="0" applyBorder="1" applyAlignment="1">
      <alignment/>
    </xf>
    <xf numFmtId="0" fontId="2" fillId="0" borderId="0" xfId="0" applyFont="1" applyBorder="1" applyAlignment="1">
      <alignment vertical="center"/>
    </xf>
    <xf numFmtId="0" fontId="0" fillId="0" borderId="0" xfId="0" applyBorder="1" applyAlignment="1">
      <alignment horizontal="center"/>
    </xf>
    <xf numFmtId="0" fontId="4" fillId="3" borderId="0" xfId="0" applyFont="1" applyFill="1" applyBorder="1" applyAlignment="1">
      <alignment horizontal="left"/>
    </xf>
    <xf numFmtId="14" fontId="5" fillId="0" borderId="0" xfId="0" applyNumberFormat="1" applyFont="1" applyFill="1" applyBorder="1" applyAlignment="1">
      <alignment horizontal="center"/>
    </xf>
    <xf numFmtId="0" fontId="5" fillId="0" borderId="0" xfId="0" applyFont="1" applyFill="1" applyBorder="1" applyAlignment="1">
      <alignment horizontal="center"/>
    </xf>
    <xf numFmtId="0" fontId="0" fillId="0" borderId="0" xfId="0" applyBorder="1" applyAlignment="1">
      <alignment vertical="center"/>
    </xf>
    <xf numFmtId="173" fontId="5" fillId="0" borderId="0" xfId="0" applyNumberFormat="1" applyFont="1" applyFill="1" applyBorder="1" applyAlignment="1">
      <alignment horizontal="center"/>
    </xf>
    <xf numFmtId="9" fontId="5" fillId="0" borderId="0" xfId="22" applyFont="1" applyFill="1" applyBorder="1" applyAlignment="1">
      <alignment horizontal="center"/>
    </xf>
    <xf numFmtId="174" fontId="5" fillId="0" borderId="0" xfId="0" applyNumberFormat="1" applyFont="1" applyFill="1" applyBorder="1" applyAlignment="1">
      <alignment horizontal="center"/>
    </xf>
    <xf numFmtId="0" fontId="0" fillId="7" borderId="0" xfId="0" applyFill="1" applyBorder="1" applyAlignment="1">
      <alignment/>
    </xf>
    <xf numFmtId="0" fontId="9" fillId="0" borderId="0" xfId="0" applyFont="1" applyBorder="1" applyAlignment="1">
      <alignment/>
    </xf>
    <xf numFmtId="0" fontId="0" fillId="8" borderId="0" xfId="0" applyFill="1" applyAlignment="1">
      <alignment/>
    </xf>
    <xf numFmtId="0" fontId="0" fillId="8" borderId="0" xfId="0" applyFill="1" applyAlignment="1">
      <alignment horizontal="center" vertical="center"/>
    </xf>
    <xf numFmtId="0" fontId="0" fillId="8" borderId="0" xfId="0" applyFill="1" applyAlignment="1">
      <alignment vertical="center"/>
    </xf>
    <xf numFmtId="0" fontId="0" fillId="8" borderId="0" xfId="0" applyFill="1" applyAlignment="1">
      <alignment horizontal="center"/>
    </xf>
    <xf numFmtId="0" fontId="0" fillId="0" borderId="2" xfId="0" applyBorder="1" applyAlignment="1">
      <alignment horizontal="center"/>
    </xf>
    <xf numFmtId="0" fontId="0" fillId="0" borderId="4" xfId="0" applyBorder="1" applyAlignment="1">
      <alignment horizontal="center"/>
    </xf>
    <xf numFmtId="0" fontId="12" fillId="0" borderId="0" xfId="0" applyFont="1" applyBorder="1" applyAlignment="1">
      <alignment horizontal="left" wrapText="1"/>
    </xf>
    <xf numFmtId="0" fontId="15" fillId="7" borderId="0" xfId="0" applyFont="1" applyFill="1" applyBorder="1" applyAlignment="1">
      <alignment horizontal="left" wrapText="1"/>
    </xf>
    <xf numFmtId="0" fontId="13" fillId="7" borderId="0" xfId="0" applyFont="1" applyFill="1" applyBorder="1" applyAlignment="1">
      <alignment horizontal="left" wrapText="1"/>
    </xf>
    <xf numFmtId="0" fontId="16" fillId="0" borderId="0" xfId="0" applyFont="1" applyAlignment="1">
      <alignment/>
    </xf>
    <xf numFmtId="0" fontId="16" fillId="0" borderId="0" xfId="0" applyFont="1" applyAlignment="1">
      <alignment horizontal="centerContinuous"/>
    </xf>
    <xf numFmtId="176" fontId="12" fillId="0" borderId="0" xfId="0" applyNumberFormat="1" applyFont="1" applyFill="1" applyAlignment="1">
      <alignment horizontal="center"/>
    </xf>
    <xf numFmtId="15" fontId="16" fillId="0" borderId="0" xfId="0" applyNumberFormat="1" applyFont="1" applyAlignment="1">
      <alignment horizontal="centerContinuous"/>
    </xf>
    <xf numFmtId="177" fontId="12" fillId="0" borderId="0" xfId="0" applyNumberFormat="1" applyFont="1" applyFill="1" applyAlignment="1">
      <alignment horizontal="center"/>
    </xf>
    <xf numFmtId="0" fontId="12" fillId="0" borderId="0" xfId="0" applyFont="1" applyAlignment="1">
      <alignment/>
    </xf>
    <xf numFmtId="0" fontId="12" fillId="8" borderId="0" xfId="0" applyFont="1" applyFill="1" applyAlignment="1">
      <alignment horizontal="center"/>
    </xf>
    <xf numFmtId="0" fontId="12" fillId="8" borderId="0" xfId="0" applyFont="1" applyFill="1" applyAlignment="1">
      <alignment/>
    </xf>
    <xf numFmtId="173" fontId="12" fillId="0" borderId="0" xfId="0" applyNumberFormat="1" applyFont="1" applyFill="1" applyAlignment="1">
      <alignment horizontal="center"/>
    </xf>
    <xf numFmtId="174" fontId="12" fillId="0" borderId="0" xfId="0" applyNumberFormat="1" applyFont="1" applyFill="1" applyAlignment="1">
      <alignment horizontal="center"/>
    </xf>
    <xf numFmtId="178" fontId="12" fillId="0" borderId="0" xfId="0" applyNumberFormat="1" applyFont="1" applyFill="1" applyAlignment="1">
      <alignment horizontal="center"/>
    </xf>
    <xf numFmtId="0" fontId="0" fillId="0" borderId="0" xfId="0" applyFont="1" applyBorder="1" applyAlignment="1">
      <alignment/>
    </xf>
    <xf numFmtId="0" fontId="17" fillId="0" borderId="0" xfId="0" applyFont="1" applyAlignment="1">
      <alignment/>
    </xf>
    <xf numFmtId="0" fontId="18" fillId="0" borderId="0" xfId="0" applyFont="1" applyFill="1" applyBorder="1" applyAlignment="1">
      <alignment horizontal="left" vertical="center"/>
    </xf>
    <xf numFmtId="172" fontId="18" fillId="0" borderId="0" xfId="0" applyNumberFormat="1" applyFont="1" applyFill="1" applyBorder="1" applyAlignment="1">
      <alignment horizontal="right" vertical="center"/>
    </xf>
    <xf numFmtId="172" fontId="18" fillId="0" borderId="0" xfId="0" applyNumberFormat="1" applyFont="1" applyFill="1" applyBorder="1" applyAlignment="1">
      <alignment horizontal="left" vertical="center"/>
    </xf>
    <xf numFmtId="0" fontId="0" fillId="9" borderId="0" xfId="0" applyFill="1" applyBorder="1" applyAlignment="1">
      <alignment/>
    </xf>
    <xf numFmtId="182" fontId="5" fillId="9" borderId="0" xfId="0" applyNumberFormat="1" applyFont="1" applyFill="1" applyBorder="1" applyAlignment="1">
      <alignment horizontal="center"/>
    </xf>
    <xf numFmtId="184" fontId="5" fillId="9" borderId="0" xfId="0" applyNumberFormat="1" applyFont="1" applyFill="1" applyBorder="1" applyAlignment="1">
      <alignment horizontal="center"/>
    </xf>
    <xf numFmtId="168" fontId="5" fillId="9" borderId="0" xfId="0" applyNumberFormat="1" applyFont="1" applyFill="1" applyBorder="1" applyAlignment="1">
      <alignment horizontal="center"/>
    </xf>
    <xf numFmtId="0" fontId="0" fillId="9" borderId="0" xfId="0" applyFill="1" applyAlignment="1">
      <alignment horizontal="center"/>
    </xf>
    <xf numFmtId="1" fontId="5" fillId="9" borderId="0" xfId="0" applyNumberFormat="1" applyFont="1" applyFill="1" applyAlignment="1">
      <alignment/>
    </xf>
    <xf numFmtId="171" fontId="5" fillId="10" borderId="0" xfId="21" applyNumberFormat="1" applyFont="1" applyFill="1" applyBorder="1" applyAlignment="1">
      <alignment horizontal="center" wrapText="1"/>
      <protection/>
    </xf>
    <xf numFmtId="0" fontId="5" fillId="9" borderId="0" xfId="0" applyFont="1" applyFill="1" applyAlignment="1">
      <alignment horizontal="left"/>
    </xf>
    <xf numFmtId="175" fontId="5" fillId="9" borderId="0" xfId="0" applyNumberFormat="1" applyFont="1" applyFill="1" applyAlignment="1">
      <alignment horizontal="center"/>
    </xf>
    <xf numFmtId="1" fontId="5" fillId="9" borderId="0" xfId="0" applyNumberFormat="1" applyFont="1" applyFill="1" applyAlignment="1">
      <alignment horizontal="left"/>
    </xf>
    <xf numFmtId="0" fontId="0" fillId="11" borderId="5" xfId="0" applyFill="1" applyBorder="1" applyAlignment="1">
      <alignment/>
    </xf>
    <xf numFmtId="0" fontId="0" fillId="11" borderId="0" xfId="0" applyFill="1" applyAlignment="1">
      <alignment/>
    </xf>
    <xf numFmtId="0" fontId="0" fillId="11" borderId="0" xfId="0" applyFill="1" applyAlignment="1">
      <alignment vertical="center"/>
    </xf>
    <xf numFmtId="0" fontId="0" fillId="11" borderId="0" xfId="0" applyFill="1" applyBorder="1" applyAlignment="1">
      <alignment/>
    </xf>
    <xf numFmtId="0" fontId="0" fillId="11" borderId="0" xfId="0" applyFill="1" applyBorder="1" applyAlignment="1">
      <alignment vertical="center"/>
    </xf>
    <xf numFmtId="0" fontId="11" fillId="11" borderId="5" xfId="0" applyFont="1" applyFill="1" applyBorder="1" applyAlignment="1">
      <alignment vertical="center" wrapText="1"/>
    </xf>
    <xf numFmtId="0" fontId="3" fillId="11" borderId="5" xfId="0" applyFont="1" applyFill="1" applyBorder="1" applyAlignment="1">
      <alignment/>
    </xf>
    <xf numFmtId="0" fontId="3" fillId="11" borderId="0" xfId="0" applyFont="1" applyFill="1" applyBorder="1" applyAlignment="1">
      <alignment/>
    </xf>
    <xf numFmtId="0" fontId="3" fillId="11" borderId="0" xfId="0" applyFont="1" applyFill="1" applyAlignment="1">
      <alignment/>
    </xf>
    <xf numFmtId="170" fontId="6" fillId="4" borderId="6" xfId="0" applyNumberFormat="1" applyFont="1" applyFill="1" applyBorder="1" applyAlignment="1">
      <alignment horizontal="center"/>
    </xf>
    <xf numFmtId="0" fontId="0" fillId="8" borderId="0" xfId="0" applyFont="1" applyFill="1" applyAlignment="1">
      <alignment/>
    </xf>
    <xf numFmtId="173" fontId="0" fillId="8" borderId="0" xfId="0" applyNumberFormat="1" applyFont="1" applyFill="1" applyAlignment="1">
      <alignment horizontal="center"/>
    </xf>
    <xf numFmtId="173" fontId="0" fillId="8" borderId="0" xfId="0" applyNumberFormat="1" applyFill="1" applyAlignment="1">
      <alignment horizontal="center"/>
    </xf>
    <xf numFmtId="0" fontId="6" fillId="8" borderId="0" xfId="0" applyFont="1" applyFill="1" applyAlignment="1">
      <alignment horizontal="left"/>
    </xf>
    <xf numFmtId="0" fontId="14" fillId="7" borderId="0" xfId="0" applyFont="1" applyFill="1" applyBorder="1" applyAlignment="1">
      <alignment horizontal="left" wrapText="1"/>
    </xf>
    <xf numFmtId="0" fontId="15" fillId="7" borderId="0" xfId="0" applyFont="1" applyFill="1" applyBorder="1" applyAlignment="1">
      <alignment horizontal="left" wrapText="1"/>
    </xf>
    <xf numFmtId="0" fontId="4" fillId="3" borderId="0" xfId="0" applyFont="1" applyFill="1" applyBorder="1" applyAlignment="1">
      <alignment horizontal="center"/>
    </xf>
    <xf numFmtId="0" fontId="6" fillId="0" borderId="7" xfId="0" applyFont="1" applyBorder="1" applyAlignment="1">
      <alignment horizontal="left" vertical="center"/>
    </xf>
    <xf numFmtId="0" fontId="0" fillId="0" borderId="8" xfId="0" applyBorder="1" applyAlignment="1">
      <alignment horizontal="left" vertical="center"/>
    </xf>
    <xf numFmtId="14" fontId="5" fillId="0" borderId="0" xfId="0" applyNumberFormat="1" applyFont="1" applyFill="1" applyBorder="1" applyAlignment="1">
      <alignment horizontal="center"/>
    </xf>
    <xf numFmtId="0" fontId="5" fillId="0" borderId="0" xfId="0" applyFont="1" applyFill="1" applyBorder="1" applyAlignment="1">
      <alignment horizontal="center"/>
    </xf>
    <xf numFmtId="173" fontId="5" fillId="0" borderId="0" xfId="0" applyNumberFormat="1" applyFont="1" applyFill="1" applyBorder="1" applyAlignment="1">
      <alignment horizontal="center"/>
    </xf>
    <xf numFmtId="9" fontId="5" fillId="0" borderId="0" xfId="22" applyFont="1" applyFill="1" applyBorder="1" applyAlignment="1">
      <alignment horizontal="center"/>
    </xf>
    <xf numFmtId="0" fontId="13" fillId="0" borderId="0" xfId="0" applyFont="1" applyAlignment="1">
      <alignment horizontal="left" wrapText="1"/>
    </xf>
    <xf numFmtId="0" fontId="6" fillId="0" borderId="7" xfId="0" applyFont="1" applyBorder="1" applyAlignment="1">
      <alignment horizontal="left" vertical="center" wrapText="1"/>
    </xf>
    <xf numFmtId="174" fontId="5" fillId="0" borderId="0" xfId="0" applyNumberFormat="1" applyFont="1" applyFill="1" applyBorder="1" applyAlignment="1">
      <alignment horizontal="center"/>
    </xf>
    <xf numFmtId="9" fontId="6" fillId="7" borderId="0" xfId="22" applyFont="1" applyFill="1" applyBorder="1" applyAlignment="1">
      <alignment horizontal="center"/>
    </xf>
    <xf numFmtId="0" fontId="17" fillId="0" borderId="0" xfId="0" applyFont="1" applyBorder="1" applyAlignment="1">
      <alignment horizontal="left" vertical="top" wrapText="1"/>
    </xf>
    <xf numFmtId="0" fontId="17" fillId="0" borderId="8" xfId="0" applyFont="1" applyBorder="1" applyAlignment="1">
      <alignment horizontal="left" vertical="top" wrapText="1"/>
    </xf>
    <xf numFmtId="169" fontId="0" fillId="0" borderId="7" xfId="0" applyNumberFormat="1" applyFont="1" applyFill="1" applyBorder="1" applyAlignment="1">
      <alignment horizontal="center"/>
    </xf>
    <xf numFmtId="180" fontId="0" fillId="0" borderId="8" xfId="17" applyNumberFormat="1" applyFont="1" applyFill="1" applyBorder="1" applyAlignment="1">
      <alignment horizontal="center"/>
    </xf>
    <xf numFmtId="184" fontId="12" fillId="0" borderId="0" xfId="0" applyNumberFormat="1" applyFont="1" applyFill="1" applyAlignment="1">
      <alignment horizontal="center"/>
    </xf>
    <xf numFmtId="170" fontId="0" fillId="0" borderId="9" xfId="0" applyNumberFormat="1" applyBorder="1" applyAlignment="1">
      <alignment horizontal="center"/>
    </xf>
    <xf numFmtId="0" fontId="0" fillId="0" borderId="0" xfId="0" applyAlignment="1">
      <alignment horizontal="center"/>
    </xf>
    <xf numFmtId="170" fontId="6" fillId="4" borderId="0" xfId="0" applyNumberFormat="1" applyFont="1" applyFill="1" applyAlignment="1">
      <alignment horizontal="center"/>
    </xf>
    <xf numFmtId="173" fontId="12" fillId="0" borderId="0" xfId="0" applyNumberFormat="1" applyFont="1" applyFill="1" applyAlignment="1">
      <alignment horizontal="center"/>
    </xf>
    <xf numFmtId="174" fontId="12" fillId="0" borderId="0" xfId="0" applyNumberFormat="1" applyFont="1" applyAlignment="1">
      <alignment horizontal="center"/>
    </xf>
    <xf numFmtId="0" fontId="4" fillId="3" borderId="0" xfId="0" applyFont="1" applyFill="1" applyAlignment="1">
      <alignment horizontal="center"/>
    </xf>
    <xf numFmtId="182" fontId="12" fillId="0" borderId="0" xfId="0" applyNumberFormat="1" applyFont="1" applyFill="1" applyAlignment="1">
      <alignment horizontal="center"/>
    </xf>
    <xf numFmtId="174" fontId="0" fillId="0" borderId="0" xfId="0" applyNumberFormat="1" applyFont="1" applyFill="1" applyAlignment="1">
      <alignment horizontal="center"/>
    </xf>
    <xf numFmtId="175" fontId="0" fillId="0" borderId="0" xfId="0" applyNumberFormat="1" applyFont="1" applyFill="1" applyAlignment="1">
      <alignment horizontal="center"/>
    </xf>
    <xf numFmtId="1" fontId="0" fillId="0" borderId="0" xfId="0" applyNumberFormat="1" applyFont="1" applyFill="1" applyAlignment="1">
      <alignment horizontal="center"/>
    </xf>
    <xf numFmtId="173" fontId="0" fillId="0" borderId="0" xfId="0" applyNumberFormat="1" applyFont="1" applyFill="1" applyAlignment="1">
      <alignment horizontal="center"/>
    </xf>
    <xf numFmtId="9" fontId="0" fillId="0" borderId="0" xfId="22" applyAlignment="1">
      <alignment horizontal="center"/>
    </xf>
    <xf numFmtId="15" fontId="16" fillId="0" borderId="0" xfId="0" applyNumberFormat="1"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Lookup Dat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Y35"/>
  <sheetViews>
    <sheetView showGridLines="0" tabSelected="1" zoomScale="125" zoomScaleNormal="125" workbookViewId="0" topLeftCell="A1">
      <selection activeCell="C15" sqref="C15:D15"/>
    </sheetView>
  </sheetViews>
  <sheetFormatPr defaultColWidth="9.140625" defaultRowHeight="12.75"/>
  <cols>
    <col min="1" max="1" width="1.8515625" style="0" customWidth="1"/>
    <col min="2" max="2" width="49.140625" style="0" bestFit="1" customWidth="1"/>
    <col min="3" max="3" width="17.8515625" style="0" bestFit="1" customWidth="1"/>
    <col min="4" max="4" width="17.8515625" style="3" bestFit="1" customWidth="1"/>
    <col min="5" max="5" width="2.140625" style="3" customWidth="1"/>
    <col min="6" max="6" width="30.7109375" style="83" customWidth="1"/>
    <col min="7" max="8" width="14.7109375" style="83" customWidth="1"/>
    <col min="9" max="9" width="4.8515625" style="83" customWidth="1"/>
    <col min="10" max="10" width="12.00390625" style="83" bestFit="1" customWidth="1"/>
    <col min="11" max="11" width="12.28125" style="83" customWidth="1"/>
    <col min="12" max="12" width="16.140625" style="83" bestFit="1" customWidth="1"/>
    <col min="13" max="25" width="9.140625" style="83" customWidth="1"/>
  </cols>
  <sheetData>
    <row r="1" spans="1:6" ht="37.5" customHeight="1">
      <c r="A1" s="54"/>
      <c r="B1" s="96" t="s">
        <v>94</v>
      </c>
      <c r="C1" s="97"/>
      <c r="D1" s="97"/>
      <c r="E1" s="55"/>
      <c r="F1" s="82"/>
    </row>
    <row r="2" spans="1:6" ht="12" customHeight="1">
      <c r="A2" s="53"/>
      <c r="B2" s="53"/>
      <c r="C2" s="53"/>
      <c r="D2" s="53"/>
      <c r="E2" s="53"/>
      <c r="F2" s="82"/>
    </row>
    <row r="3" spans="1:6" ht="15.75">
      <c r="A3" s="35"/>
      <c r="B3" s="36"/>
      <c r="C3" s="36"/>
      <c r="D3" s="37"/>
      <c r="E3" s="37"/>
      <c r="F3" s="82"/>
    </row>
    <row r="4" spans="1:6" ht="19.5" customHeight="1">
      <c r="A4" s="35"/>
      <c r="B4" s="36" t="s">
        <v>37</v>
      </c>
      <c r="C4" s="35"/>
      <c r="D4" s="37"/>
      <c r="E4" s="37"/>
      <c r="F4" s="82"/>
    </row>
    <row r="5" spans="1:6" ht="12.75">
      <c r="A5" s="35"/>
      <c r="B5" s="38" t="s">
        <v>53</v>
      </c>
      <c r="C5" s="98" t="s">
        <v>57</v>
      </c>
      <c r="D5" s="98"/>
      <c r="E5" s="37"/>
      <c r="F5" s="82"/>
    </row>
    <row r="6" spans="1:6" ht="12.75">
      <c r="A6" s="35"/>
      <c r="B6" s="35" t="s">
        <v>1</v>
      </c>
      <c r="C6" s="101" t="s">
        <v>97</v>
      </c>
      <c r="D6" s="101"/>
      <c r="E6" s="39"/>
      <c r="F6" s="82"/>
    </row>
    <row r="7" spans="1:6" ht="12.75">
      <c r="A7" s="35"/>
      <c r="B7" s="35" t="s">
        <v>2</v>
      </c>
      <c r="C7" s="102" t="s">
        <v>54</v>
      </c>
      <c r="D7" s="102"/>
      <c r="E7" s="40"/>
      <c r="F7" s="82"/>
    </row>
    <row r="8" spans="1:8" ht="12.75">
      <c r="A8" s="35"/>
      <c r="B8" s="35" t="s">
        <v>3</v>
      </c>
      <c r="C8" s="102" t="s">
        <v>38</v>
      </c>
      <c r="D8" s="102"/>
      <c r="E8" s="40"/>
      <c r="F8" s="82"/>
      <c r="G8" s="85"/>
      <c r="H8" s="85"/>
    </row>
    <row r="9" spans="1:9" ht="21" customHeight="1">
      <c r="A9" s="35"/>
      <c r="B9" s="41" t="s">
        <v>80</v>
      </c>
      <c r="C9" s="41"/>
      <c r="D9" s="70">
        <f>IF(E9="","","Error")</f>
      </c>
      <c r="E9" s="71">
        <f>IF('Tariff Rates &amp; Loss Factors'!F19=1,IF('Tariff Rates &amp; Loss Factors'!F14=0,"-&gt; DTS-D2 Tariff is not available for transmission connected demand",""),"")</f>
      </c>
      <c r="F9" s="87"/>
      <c r="G9" s="85"/>
      <c r="H9" s="85"/>
      <c r="I9" s="85"/>
    </row>
    <row r="10" spans="1:25" s="1" customFormat="1" ht="27.75" customHeight="1">
      <c r="A10" s="41"/>
      <c r="B10" s="41" t="s">
        <v>5</v>
      </c>
      <c r="C10" s="41"/>
      <c r="D10" s="70">
        <f>IF(E10="","","Error")</f>
      </c>
      <c r="E10" s="69">
        <f>IF('Tariff Rates &amp; Loss Factors'!F19=1,IF('Tariff Rates &amp; Loss Factors'!D8&gt;1,"-&gt; voltage is incompatible with connection selection",""),"")</f>
      </c>
      <c r="F10" s="87"/>
      <c r="G10" s="86"/>
      <c r="H10" s="86"/>
      <c r="I10" s="84"/>
      <c r="J10" s="84"/>
      <c r="K10" s="84"/>
      <c r="L10" s="84"/>
      <c r="M10" s="84"/>
      <c r="N10" s="84"/>
      <c r="O10" s="84"/>
      <c r="P10" s="84"/>
      <c r="Q10" s="84"/>
      <c r="R10" s="84"/>
      <c r="S10" s="84"/>
      <c r="T10" s="84"/>
      <c r="U10" s="84"/>
      <c r="V10" s="84"/>
      <c r="W10" s="84"/>
      <c r="X10" s="84"/>
      <c r="Y10" s="84"/>
    </row>
    <row r="11" spans="1:8" ht="12.75">
      <c r="A11" s="35"/>
      <c r="B11" s="35" t="s">
        <v>90</v>
      </c>
      <c r="C11" s="103">
        <v>5</v>
      </c>
      <c r="D11" s="103"/>
      <c r="E11" s="42"/>
      <c r="F11" s="88" t="s">
        <v>40</v>
      </c>
      <c r="G11" s="89"/>
      <c r="H11" s="90"/>
    </row>
    <row r="12" spans="1:8" ht="12.75">
      <c r="A12" s="35"/>
      <c r="B12" s="35" t="s">
        <v>66</v>
      </c>
      <c r="C12" s="104">
        <v>0.72</v>
      </c>
      <c r="D12" s="104"/>
      <c r="E12" s="43"/>
      <c r="F12" s="88"/>
      <c r="G12" s="90"/>
      <c r="H12" s="90">
        <f>730*2</f>
        <v>1460</v>
      </c>
    </row>
    <row r="13" spans="1:8" ht="12.75">
      <c r="A13" s="35"/>
      <c r="B13" s="35" t="s">
        <v>67</v>
      </c>
      <c r="C13" s="104">
        <v>0.66</v>
      </c>
      <c r="D13" s="104"/>
      <c r="E13" s="43"/>
      <c r="F13" s="88"/>
      <c r="G13" s="90"/>
      <c r="H13" s="90">
        <v>1000</v>
      </c>
    </row>
    <row r="14" spans="1:8" ht="12.75">
      <c r="A14" s="35"/>
      <c r="B14" s="67" t="s">
        <v>89</v>
      </c>
      <c r="C14" s="103">
        <v>4.5</v>
      </c>
      <c r="D14" s="103"/>
      <c r="E14" s="42"/>
      <c r="F14" s="88" t="s">
        <v>56</v>
      </c>
      <c r="G14" s="90"/>
      <c r="H14" s="90">
        <f>H13/H12</f>
        <v>0.684931506849315</v>
      </c>
    </row>
    <row r="15" spans="1:6" ht="12.75">
      <c r="A15" s="35"/>
      <c r="B15" s="35" t="s">
        <v>91</v>
      </c>
      <c r="C15" s="107">
        <v>0</v>
      </c>
      <c r="D15" s="107"/>
      <c r="E15" s="44"/>
      <c r="F15" s="82"/>
    </row>
    <row r="16" spans="1:6" ht="12.75">
      <c r="A16" s="35"/>
      <c r="B16" s="45" t="s">
        <v>81</v>
      </c>
      <c r="C16" s="108" t="str">
        <f>'Tariff Rates &amp; Loss Factors'!G14</f>
        <v>DTS-T</v>
      </c>
      <c r="D16" s="108"/>
      <c r="E16" s="37"/>
      <c r="F16" s="82"/>
    </row>
    <row r="17" spans="1:6" ht="12.75">
      <c r="A17" s="35"/>
      <c r="B17" s="109" t="s">
        <v>92</v>
      </c>
      <c r="C17" s="109"/>
      <c r="D17" s="109"/>
      <c r="E17" s="37"/>
      <c r="F17" s="82"/>
    </row>
    <row r="18" spans="1:6" ht="13.5" thickBot="1">
      <c r="A18" s="35"/>
      <c r="B18" s="110" t="s">
        <v>93</v>
      </c>
      <c r="C18" s="110"/>
      <c r="D18" s="110"/>
      <c r="E18" s="37"/>
      <c r="F18" s="82"/>
    </row>
    <row r="19" spans="1:5" ht="12.75">
      <c r="A19" s="26"/>
      <c r="B19" s="99" t="str">
        <f>TARIFF_SELECT&amp;" per unit charges before VAT**"</f>
        <v>DTS-T per unit charges before VAT**</v>
      </c>
      <c r="C19" s="111">
        <f>IF('Tariff Rates &amp; Loss Factors'!$F$14=0,'DTS-D2'!C40,IF('Tariff Rates &amp; Loss Factors'!$F$14=1,'DTS-T'!C41,'DTS-D1'!C42))</f>
        <v>6.917740571621849</v>
      </c>
      <c r="D19" s="111"/>
      <c r="E19" s="51"/>
    </row>
    <row r="20" spans="1:5" ht="13.5" thickBot="1">
      <c r="A20" s="28"/>
      <c r="B20" s="100"/>
      <c r="C20" s="112">
        <f>C19/10</f>
        <v>0.6917740571621849</v>
      </c>
      <c r="D20" s="112"/>
      <c r="E20" s="52"/>
    </row>
    <row r="21" spans="1:6" ht="4.5" customHeight="1" thickBot="1">
      <c r="A21" s="35"/>
      <c r="C21" s="3"/>
      <c r="E21" s="37"/>
      <c r="F21" s="82"/>
    </row>
    <row r="22" spans="1:5" ht="12.75">
      <c r="A22" s="26"/>
      <c r="B22" s="106" t="str">
        <f>TARIFF_SELECT&amp;" per unit charges after VAT**"</f>
        <v>DTS-T per unit charges after VAT**</v>
      </c>
      <c r="C22" s="111">
        <f>IF('Tariff Rates &amp; Loss Factors'!$F$14=0,'DTS-D2'!C43,IF('Tariff Rates &amp; Loss Factors'!$F$14=1,'DTS-T'!C44,'DTS-D1'!C45))</f>
        <v>8.405054794520545</v>
      </c>
      <c r="D22" s="111"/>
      <c r="E22" s="51"/>
    </row>
    <row r="23" spans="1:5" ht="13.5" thickBot="1">
      <c r="A23" s="28"/>
      <c r="B23" s="100"/>
      <c r="C23" s="112">
        <f>C22/10</f>
        <v>0.8405054794520546</v>
      </c>
      <c r="D23" s="112"/>
      <c r="E23" s="52"/>
    </row>
    <row r="24" spans="1:6" ht="7.5" customHeight="1">
      <c r="A24" s="35"/>
      <c r="B24" s="35"/>
      <c r="C24" s="35"/>
      <c r="D24" s="37"/>
      <c r="E24" s="37"/>
      <c r="F24" s="82"/>
    </row>
    <row r="25" spans="1:6" ht="12.75">
      <c r="A25" s="35"/>
      <c r="B25" s="46" t="s">
        <v>82</v>
      </c>
      <c r="C25" s="35"/>
      <c r="D25" s="37"/>
      <c r="E25" s="37"/>
      <c r="F25" s="82"/>
    </row>
    <row r="26" spans="1:6" ht="12.75">
      <c r="A26" s="35"/>
      <c r="B26" s="35"/>
      <c r="C26" s="35"/>
      <c r="D26" s="37"/>
      <c r="E26" s="37"/>
      <c r="F26" s="82"/>
    </row>
    <row r="27" spans="1:6" ht="34.5" customHeight="1">
      <c r="A27" s="35"/>
      <c r="B27" s="105" t="str">
        <f>Assumptions!$B$1</f>
        <v>Disclaimer:
EirGrid has provided this program as an aid to Suppliers and Demand Customers. Although every effort has been made to ensure the accuracy of the material contained in this spreadsheet, complete accuracy cannot be guaranteed. EirGrid cannot accept any responsibility whatsoever for loss or damage occasioned or claimed to have been occasioned, in part or in full, as a consequence of any person acting, or refraining from acting, as a result of a matter contained in this spreadsheet.</v>
      </c>
      <c r="C27" s="105"/>
      <c r="D27" s="105"/>
      <c r="E27" s="37"/>
      <c r="F27" s="82"/>
    </row>
    <row r="28" spans="1:6" ht="12.75">
      <c r="A28" s="35"/>
      <c r="B28" s="35"/>
      <c r="C28" s="35"/>
      <c r="D28" s="37"/>
      <c r="E28" s="37"/>
      <c r="F28" s="82"/>
    </row>
    <row r="29" spans="1:6" ht="12.75">
      <c r="A29" s="35"/>
      <c r="B29" s="35"/>
      <c r="C29" s="35"/>
      <c r="D29" s="37"/>
      <c r="E29" s="37"/>
      <c r="F29" s="82"/>
    </row>
    <row r="30" spans="1:6" ht="12.75">
      <c r="A30" s="35"/>
      <c r="B30" s="35"/>
      <c r="C30" s="35"/>
      <c r="D30" s="37"/>
      <c r="E30" s="37"/>
      <c r="F30" s="82"/>
    </row>
    <row r="31" spans="1:5" ht="12.75">
      <c r="A31" s="35"/>
      <c r="B31" s="35"/>
      <c r="C31" s="35"/>
      <c r="D31" s="37"/>
      <c r="E31" s="37"/>
    </row>
    <row r="32" spans="1:5" ht="12.75">
      <c r="A32" s="35"/>
      <c r="B32" s="35"/>
      <c r="C32" s="35"/>
      <c r="D32" s="37"/>
      <c r="E32" s="37"/>
    </row>
    <row r="33" spans="1:5" ht="12.75">
      <c r="A33" s="35"/>
      <c r="B33" s="35"/>
      <c r="C33" s="35"/>
      <c r="D33" s="37"/>
      <c r="E33" s="37"/>
    </row>
    <row r="34" spans="1:5" ht="12.75">
      <c r="A34" s="35"/>
      <c r="B34" s="35"/>
      <c r="C34" s="35"/>
      <c r="D34" s="37"/>
      <c r="E34" s="37"/>
    </row>
    <row r="35" spans="1:5" ht="12.75">
      <c r="A35" s="35"/>
      <c r="B35" s="35"/>
      <c r="C35" s="35"/>
      <c r="D35" s="37"/>
      <c r="E35" s="37"/>
    </row>
  </sheetData>
  <mergeCells count="20">
    <mergeCell ref="B27:D27"/>
    <mergeCell ref="B22:B23"/>
    <mergeCell ref="C15:D15"/>
    <mergeCell ref="C16:D16"/>
    <mergeCell ref="B17:D17"/>
    <mergeCell ref="B18:D18"/>
    <mergeCell ref="C19:D19"/>
    <mergeCell ref="C20:D20"/>
    <mergeCell ref="C22:D22"/>
    <mergeCell ref="C23:D23"/>
    <mergeCell ref="B1:D1"/>
    <mergeCell ref="C5:D5"/>
    <mergeCell ref="B19:B20"/>
    <mergeCell ref="C6:D6"/>
    <mergeCell ref="C7:D7"/>
    <mergeCell ref="C8:D8"/>
    <mergeCell ref="C11:D11"/>
    <mergeCell ref="C14:D14"/>
    <mergeCell ref="C12:D12"/>
    <mergeCell ref="C13:D13"/>
  </mergeCells>
  <printOptions horizontalCentered="1"/>
  <pageMargins left="0.75" right="0.75" top="1" bottom="1" header="0.5" footer="0.5"/>
  <pageSetup fitToHeight="1" fitToWidth="1" horizontalDpi="600" verticalDpi="600" orientation="portrait" paperSize="9" scale="99"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L47"/>
  <sheetViews>
    <sheetView showGridLines="0" zoomScale="125" zoomScaleNormal="125" workbookViewId="0" topLeftCell="A1">
      <selection activeCell="G9" sqref="G9"/>
    </sheetView>
  </sheetViews>
  <sheetFormatPr defaultColWidth="9.140625" defaultRowHeight="12.75"/>
  <cols>
    <col min="1" max="1" width="1.7109375" style="0" customWidth="1"/>
    <col min="2" max="2" width="49.140625" style="0" bestFit="1" customWidth="1"/>
    <col min="3" max="3" width="19.00390625" style="3" bestFit="1" customWidth="1"/>
    <col min="4" max="4" width="17.8515625" style="3" bestFit="1" customWidth="1"/>
    <col min="5" max="5" width="2.57421875" style="18" customWidth="1"/>
    <col min="6" max="6" width="13.00390625" style="50" bestFit="1" customWidth="1"/>
    <col min="7" max="7" width="28.140625" style="47" bestFit="1" customWidth="1"/>
    <col min="8" max="12" width="9.140625" style="47" customWidth="1"/>
  </cols>
  <sheetData>
    <row r="1" spans="2:12" s="1" customFormat="1" ht="32.25" customHeight="1">
      <c r="B1" s="11" t="s">
        <v>55</v>
      </c>
      <c r="C1" s="2"/>
      <c r="D1" s="2"/>
      <c r="E1" s="17"/>
      <c r="F1" s="48"/>
      <c r="G1" s="49"/>
      <c r="H1" s="49"/>
      <c r="I1" s="49"/>
      <c r="J1" s="49"/>
      <c r="K1" s="49"/>
      <c r="L1" s="49"/>
    </row>
    <row r="2" spans="2:4" ht="12.75">
      <c r="B2" s="5" t="str">
        <f>Assumptions!B5</f>
        <v>Customer Parameters</v>
      </c>
      <c r="C2" s="119" t="str">
        <f>Assumptions!C5</f>
        <v>Input Assumptions</v>
      </c>
      <c r="D2" s="119"/>
    </row>
    <row r="3" spans="2:4" ht="12.75">
      <c r="B3" s="56" t="s">
        <v>86</v>
      </c>
      <c r="C3" s="59" t="str">
        <f>TAR_EFF_DATE</f>
        <v>October 1st 2009</v>
      </c>
      <c r="D3" s="57"/>
    </row>
    <row r="4" spans="2:4" ht="12.75">
      <c r="B4" t="str">
        <f>Assumptions!B6</f>
        <v>Charging Period</v>
      </c>
      <c r="C4" s="21" t="str">
        <f>IF(VALID_T=1,CHARPER,"")</f>
        <v>01-31 Oct 2009</v>
      </c>
      <c r="D4" s="21"/>
    </row>
    <row r="5" spans="2:4" ht="12.75">
      <c r="B5" t="str">
        <f>Assumptions!B7</f>
        <v>Supplier</v>
      </c>
      <c r="C5" s="21" t="str">
        <f>IF(VALID_T=1,SUPP,"")</f>
        <v>ABC Energy Plc.</v>
      </c>
      <c r="D5" s="21"/>
    </row>
    <row r="6" spans="2:4" ht="12.75">
      <c r="B6" t="str">
        <f>Assumptions!B8</f>
        <v>Supplier's Customer</v>
      </c>
      <c r="C6" s="21" t="str">
        <f>IF(VALID_T=1,CUST,"")</f>
        <v>XYZ Factory</v>
      </c>
      <c r="D6" s="21"/>
    </row>
    <row r="7" spans="2:4" ht="12.75">
      <c r="B7" s="1" t="str">
        <f>Assumptions!B10</f>
        <v>Connection Voltage</v>
      </c>
      <c r="C7" s="21" t="str">
        <f>VLOOKUP('Tariff Rates &amp; Loss Factors'!$D$8,DLAF,4)</f>
        <v>110 kV or higher</v>
      </c>
      <c r="D7" s="21"/>
    </row>
    <row r="8" spans="2:4" ht="12.75">
      <c r="B8" s="1" t="str">
        <f>Assumptions!B9</f>
        <v>Connection to</v>
      </c>
      <c r="C8" s="21" t="str">
        <f>VLOOKUP('Tariff Rates &amp; Loss Factors'!$F$19,CONN_TO,2)</f>
        <v>Transmission System</v>
      </c>
      <c r="D8" s="21"/>
    </row>
    <row r="9" spans="2:4" ht="12.75">
      <c r="B9" t="str">
        <f>Assumptions!B11</f>
        <v>Maximum Import Capacity @ exit point *</v>
      </c>
      <c r="C9" s="22">
        <f>MIC</f>
        <v>5</v>
      </c>
      <c r="D9" s="21"/>
    </row>
    <row r="10" spans="2:4" ht="12.75">
      <c r="B10" t="str">
        <f>Assumptions!B12</f>
        <v>Load Factor *</v>
      </c>
      <c r="C10" s="23">
        <f>LF</f>
        <v>0.72</v>
      </c>
      <c r="D10" s="21"/>
    </row>
    <row r="11" spans="2:4" ht="12.75">
      <c r="B11" t="str">
        <f>Assumptions!B13</f>
        <v>Day Load Factor * (Day Hours - 8am to 11pm)</v>
      </c>
      <c r="C11" s="23">
        <f>DLF</f>
        <v>0.66</v>
      </c>
      <c r="D11" s="21"/>
    </row>
    <row r="12" spans="2:4" ht="12.75">
      <c r="B12" t="str">
        <f>Assumptions!B14</f>
        <v>Highest Metered Demand @ exit point *</v>
      </c>
      <c r="C12" s="22">
        <f>PKLOAD</f>
        <v>4.5</v>
      </c>
      <c r="D12" s="21"/>
    </row>
    <row r="13" spans="2:4" ht="12.75">
      <c r="B13" t="s">
        <v>58</v>
      </c>
      <c r="C13" s="24">
        <f>(C14/24)*15</f>
        <v>456.25</v>
      </c>
      <c r="D13" s="21"/>
    </row>
    <row r="14" spans="2:4" ht="12.75">
      <c r="B14" t="s">
        <v>79</v>
      </c>
      <c r="C14" s="24">
        <f>AVG_HOURS_IN_MONTH</f>
        <v>730</v>
      </c>
      <c r="D14" s="21"/>
    </row>
    <row r="15" spans="2:4" ht="12.75">
      <c r="B15" t="s">
        <v>63</v>
      </c>
      <c r="C15" s="25">
        <f>C13*C11*C12</f>
        <v>1355.0625</v>
      </c>
      <c r="D15" s="21"/>
    </row>
    <row r="16" spans="2:4" ht="12.75">
      <c r="B16" t="s">
        <v>62</v>
      </c>
      <c r="C16" s="25">
        <f>C14*C10*C12</f>
        <v>2365.2000000000003</v>
      </c>
      <c r="D16" s="21"/>
    </row>
    <row r="17" ht="1.5" customHeight="1">
      <c r="C17" s="13"/>
    </row>
    <row r="18" spans="2:4" ht="12.75">
      <c r="B18" s="5" t="s">
        <v>59</v>
      </c>
      <c r="C18" s="119" t="s">
        <v>60</v>
      </c>
      <c r="D18" s="119"/>
    </row>
    <row r="19" spans="3:4" ht="12.75">
      <c r="C19" s="115" t="s">
        <v>61</v>
      </c>
      <c r="D19" s="115"/>
    </row>
    <row r="20" spans="2:6" ht="12.75">
      <c r="B20" s="6" t="s">
        <v>10</v>
      </c>
      <c r="C20" s="116">
        <f>ROUND(C24*C22,2)</f>
        <v>5647.41</v>
      </c>
      <c r="D20" s="116"/>
      <c r="E20" s="16"/>
      <c r="F20" s="95" t="s">
        <v>101</v>
      </c>
    </row>
    <row r="21" spans="2:12" s="61" customFormat="1" ht="12.75">
      <c r="B21" s="61" t="s">
        <v>11</v>
      </c>
      <c r="C21" s="117">
        <f>MIC</f>
        <v>5</v>
      </c>
      <c r="D21" s="117"/>
      <c r="E21" s="64"/>
      <c r="F21" s="93">
        <f>MIC</f>
        <v>5</v>
      </c>
      <c r="G21" s="92" t="s">
        <v>98</v>
      </c>
      <c r="H21" s="63"/>
      <c r="I21" s="63"/>
      <c r="J21" s="63"/>
      <c r="K21" s="63"/>
      <c r="L21" s="63"/>
    </row>
    <row r="22" spans="2:12" s="61" customFormat="1" ht="12.75">
      <c r="B22" s="61" t="str">
        <f>"     "&amp;'Tariff Rates &amp; Loss Factors'!A3</f>
        <v>     Network Capacity Charge Rate (DTS-T)</v>
      </c>
      <c r="C22" s="120">
        <f>NCCR_T*VALID_T</f>
        <v>1254.98</v>
      </c>
      <c r="D22" s="120"/>
      <c r="E22" s="58"/>
      <c r="F22" s="93">
        <f>PKLOAD</f>
        <v>4.5</v>
      </c>
      <c r="G22" s="47" t="s">
        <v>99</v>
      </c>
      <c r="H22" s="63"/>
      <c r="I22" s="63"/>
      <c r="J22" s="63"/>
      <c r="K22" s="63"/>
      <c r="L22" s="63"/>
    </row>
    <row r="23" spans="2:12" s="61" customFormat="1" ht="12.75">
      <c r="B23" s="61" t="s">
        <v>14</v>
      </c>
      <c r="C23" s="117">
        <f>PKLOAD</f>
        <v>4.5</v>
      </c>
      <c r="D23" s="117"/>
      <c r="E23" s="64"/>
      <c r="F23" s="93">
        <f>0.8*MIC</f>
        <v>4</v>
      </c>
      <c r="G23" s="92" t="s">
        <v>12</v>
      </c>
      <c r="H23" s="63"/>
      <c r="I23" s="63"/>
      <c r="J23" s="63"/>
      <c r="K23" s="63"/>
      <c r="L23" s="63"/>
    </row>
    <row r="24" spans="2:12" s="61" customFormat="1" ht="12.75">
      <c r="B24" s="61" t="s">
        <v>15</v>
      </c>
      <c r="C24" s="117">
        <f>MIN(MIC,MAX(HMD_DTS_T,MAX(MIC-4,MIC*0.8)))</f>
        <v>4.5</v>
      </c>
      <c r="D24" s="117"/>
      <c r="E24" s="64"/>
      <c r="F24" s="93">
        <f>MIC-4</f>
        <v>1</v>
      </c>
      <c r="G24" s="92" t="s">
        <v>13</v>
      </c>
      <c r="H24" s="63"/>
      <c r="I24" s="63"/>
      <c r="J24" s="63"/>
      <c r="K24" s="63"/>
      <c r="L24" s="63"/>
    </row>
    <row r="25" spans="2:7" ht="12.75">
      <c r="B25" s="6" t="s">
        <v>16</v>
      </c>
      <c r="C25" s="116">
        <f>ROUND(C27*C26,2)</f>
        <v>0</v>
      </c>
      <c r="D25" s="116"/>
      <c r="E25" s="16"/>
      <c r="F25" s="62"/>
      <c r="G25" s="63"/>
    </row>
    <row r="26" spans="2:12" s="61" customFormat="1" ht="12.75">
      <c r="B26" s="61" t="str">
        <f>"     "&amp;'Tariff Rates &amp; Loss Factors'!A6</f>
        <v>     Network Unauthorised Usage Charge Rate</v>
      </c>
      <c r="C26" s="113">
        <f>NUUCR*VALID_T</f>
        <v>691.657</v>
      </c>
      <c r="D26" s="113"/>
      <c r="E26" s="66"/>
      <c r="F26" s="50"/>
      <c r="G26" s="47"/>
      <c r="H26" s="63"/>
      <c r="I26" s="63"/>
      <c r="J26" s="63"/>
      <c r="K26" s="63"/>
      <c r="L26" s="63"/>
    </row>
    <row r="27" spans="2:12" s="61" customFormat="1" ht="11.25">
      <c r="B27" s="61" t="s">
        <v>17</v>
      </c>
      <c r="C27" s="118">
        <f>UUMWh</f>
        <v>0</v>
      </c>
      <c r="D27" s="118"/>
      <c r="E27" s="65"/>
      <c r="F27" s="62"/>
      <c r="G27" s="63"/>
      <c r="H27" s="63"/>
      <c r="I27" s="63"/>
      <c r="J27" s="63"/>
      <c r="K27" s="63"/>
      <c r="L27" s="63"/>
    </row>
    <row r="28" spans="2:7" ht="12.75">
      <c r="B28" s="6" t="s">
        <v>18</v>
      </c>
      <c r="C28" s="116">
        <f>ROUND(C30*C29,2)</f>
        <v>4720.7</v>
      </c>
      <c r="D28" s="116"/>
      <c r="E28" s="16"/>
      <c r="F28" s="62"/>
      <c r="G28" s="63"/>
    </row>
    <row r="29" spans="2:12" s="61" customFormat="1" ht="12.75">
      <c r="B29" s="61" t="str">
        <f>"     "&amp;'Tariff Rates &amp; Loss Factors'!A7</f>
        <v>     Network Transfer Charge Rate</v>
      </c>
      <c r="C29" s="113">
        <f>NTCR*VALID_T</f>
        <v>1.9959</v>
      </c>
      <c r="D29" s="113"/>
      <c r="E29" s="60"/>
      <c r="F29" s="50"/>
      <c r="G29" s="47"/>
      <c r="H29" s="63"/>
      <c r="I29" s="63"/>
      <c r="J29" s="63"/>
      <c r="K29" s="63"/>
      <c r="L29" s="63"/>
    </row>
    <row r="30" spans="2:12" s="61" customFormat="1" ht="11.25">
      <c r="B30" s="61" t="s">
        <v>19</v>
      </c>
      <c r="C30" s="118">
        <f>C16</f>
        <v>2365.2000000000003</v>
      </c>
      <c r="D30" s="118"/>
      <c r="E30" s="65"/>
      <c r="F30" s="62"/>
      <c r="G30" s="63"/>
      <c r="H30" s="63"/>
      <c r="I30" s="63"/>
      <c r="J30" s="63"/>
      <c r="K30" s="63"/>
      <c r="L30" s="63"/>
    </row>
    <row r="31" spans="2:7" ht="12.75">
      <c r="B31" s="6" t="s">
        <v>20</v>
      </c>
      <c r="C31" s="116">
        <f>ROUND(C33*C32,2)</f>
        <v>5510.92</v>
      </c>
      <c r="D31" s="116"/>
      <c r="E31" s="16"/>
      <c r="F31" s="62"/>
      <c r="G31" s="63"/>
    </row>
    <row r="32" spans="2:12" s="61" customFormat="1" ht="12.75">
      <c r="B32" s="61" t="str">
        <f>"     "&amp;'Tariff Rates &amp; Loss Factors'!A8</f>
        <v>     System Services Charge Rate</v>
      </c>
      <c r="C32" s="113">
        <f>SSCR*VALID_T</f>
        <v>2.33</v>
      </c>
      <c r="D32" s="113"/>
      <c r="E32" s="60"/>
      <c r="F32" s="50"/>
      <c r="G32" s="47"/>
      <c r="H32" s="63"/>
      <c r="I32" s="63"/>
      <c r="J32" s="63"/>
      <c r="K32" s="63"/>
      <c r="L32" s="63"/>
    </row>
    <row r="33" spans="2:12" s="61" customFormat="1" ht="11.25">
      <c r="B33" s="61" t="str">
        <f>B30</f>
        <v>     Total Metered Energy Transferred</v>
      </c>
      <c r="C33" s="118">
        <f>C30</f>
        <v>2365.2000000000003</v>
      </c>
      <c r="D33" s="118"/>
      <c r="E33" s="65"/>
      <c r="F33" s="62"/>
      <c r="G33" s="63"/>
      <c r="H33" s="63"/>
      <c r="I33" s="63"/>
      <c r="J33" s="63"/>
      <c r="K33" s="63"/>
      <c r="L33" s="63"/>
    </row>
    <row r="34" spans="2:7" ht="12.75">
      <c r="B34" s="6" t="s">
        <v>88</v>
      </c>
      <c r="C34" s="116">
        <f>ROUND(C36*C35,2)</f>
        <v>482.81</v>
      </c>
      <c r="D34" s="116"/>
      <c r="E34" s="19"/>
      <c r="F34" s="62"/>
      <c r="G34" s="63"/>
    </row>
    <row r="35" spans="2:12" s="61" customFormat="1" ht="12.75">
      <c r="B35" s="61" t="str">
        <f>"     "&amp;'Tariff Rates &amp; Loss Factors'!A9</f>
        <v>     Demand Side Management Charge Rate</v>
      </c>
      <c r="C35" s="113">
        <f>CMCR*VALID_T</f>
        <v>0.3563</v>
      </c>
      <c r="D35" s="113"/>
      <c r="E35" s="65"/>
      <c r="F35" s="50"/>
      <c r="G35" s="47"/>
      <c r="H35" s="63"/>
      <c r="I35" s="63"/>
      <c r="J35" s="63"/>
      <c r="K35" s="63"/>
      <c r="L35" s="63"/>
    </row>
    <row r="36" spans="2:12" s="61" customFormat="1" ht="11.25">
      <c r="B36" s="61" t="s">
        <v>26</v>
      </c>
      <c r="C36" s="118">
        <f>C15</f>
        <v>1355.0625</v>
      </c>
      <c r="D36" s="118"/>
      <c r="E36" s="65"/>
      <c r="F36" s="62"/>
      <c r="G36" s="63"/>
      <c r="H36" s="63"/>
      <c r="I36" s="63"/>
      <c r="J36" s="63"/>
      <c r="K36" s="63"/>
      <c r="L36" s="63"/>
    </row>
    <row r="37" spans="2:7" ht="12.75">
      <c r="B37" s="6" t="s">
        <v>21</v>
      </c>
      <c r="C37" s="116">
        <f>SUM(C31,C28,C25,C20,C34)</f>
        <v>16361.839999999998</v>
      </c>
      <c r="D37" s="116"/>
      <c r="E37" s="16"/>
      <c r="F37" s="62"/>
      <c r="G37" s="63"/>
    </row>
    <row r="38" spans="2:5" ht="12.75">
      <c r="B38" t="s">
        <v>22</v>
      </c>
      <c r="C38" s="114">
        <f>C37*VAT</f>
        <v>3517.7955999999995</v>
      </c>
      <c r="D38" s="114"/>
      <c r="E38" s="16"/>
    </row>
    <row r="39" spans="2:5" ht="13.5" thickBot="1">
      <c r="B39" s="6" t="s">
        <v>23</v>
      </c>
      <c r="C39" s="91">
        <f>C37+C38</f>
        <v>19879.635599999998</v>
      </c>
      <c r="D39" s="91"/>
      <c r="E39" s="20"/>
    </row>
    <row r="40" ht="14.25" thickBot="1" thickTop="1"/>
    <row r="41" spans="1:5" ht="12.75">
      <c r="A41" s="26"/>
      <c r="B41" s="99" t="s">
        <v>74</v>
      </c>
      <c r="C41" s="111">
        <f>C37/C16</f>
        <v>6.917740571621849</v>
      </c>
      <c r="D41" s="111"/>
      <c r="E41" s="27"/>
    </row>
    <row r="42" spans="1:5" ht="13.5" thickBot="1">
      <c r="A42" s="28"/>
      <c r="B42" s="100"/>
      <c r="C42" s="112">
        <f>C41/10</f>
        <v>0.6917740571621849</v>
      </c>
      <c r="D42" s="112"/>
      <c r="E42" s="29"/>
    </row>
    <row r="43" ht="13.5" thickBot="1"/>
    <row r="44" spans="1:5" ht="12.75">
      <c r="A44" s="26"/>
      <c r="B44" s="106" t="s">
        <v>76</v>
      </c>
      <c r="C44" s="111">
        <f>C39/C16</f>
        <v>8.405054794520545</v>
      </c>
      <c r="D44" s="111"/>
      <c r="E44" s="27"/>
    </row>
    <row r="45" spans="1:5" ht="13.5" thickBot="1">
      <c r="A45" s="28"/>
      <c r="B45" s="100"/>
      <c r="C45" s="112">
        <f>C44/10</f>
        <v>0.8405054794520546</v>
      </c>
      <c r="D45" s="112"/>
      <c r="E45" s="29"/>
    </row>
    <row r="47" spans="2:4" ht="34.5" customHeight="1">
      <c r="B47" s="105" t="str">
        <f>Assumptions!$B$1</f>
        <v>Disclaimer:
EirGrid has provided this program as an aid to Suppliers and Demand Customers. Although every effort has been made to ensure the accuracy of the material contained in this spreadsheet, complete accuracy cannot be guaranteed. EirGrid cannot accept any responsibility whatsoever for loss or damage occasioned or claimed to have been occasioned, in part or in full, as a consequence of any person acting, or refraining from acting, as a result of a matter contained in this spreadsheet.</v>
      </c>
      <c r="C47" s="105"/>
      <c r="D47" s="105"/>
    </row>
  </sheetData>
  <mergeCells count="30">
    <mergeCell ref="B47:D47"/>
    <mergeCell ref="B44:B45"/>
    <mergeCell ref="C30:D30"/>
    <mergeCell ref="C33:D33"/>
    <mergeCell ref="B41:B42"/>
    <mergeCell ref="C36:D36"/>
    <mergeCell ref="C41:D41"/>
    <mergeCell ref="C42:D42"/>
    <mergeCell ref="C34:D34"/>
    <mergeCell ref="C37:D37"/>
    <mergeCell ref="C32:D32"/>
    <mergeCell ref="C24:D24"/>
    <mergeCell ref="C27:D27"/>
    <mergeCell ref="C2:D2"/>
    <mergeCell ref="C18:D18"/>
    <mergeCell ref="C21:D21"/>
    <mergeCell ref="C23:D23"/>
    <mergeCell ref="C25:D25"/>
    <mergeCell ref="C20:D20"/>
    <mergeCell ref="C22:D22"/>
    <mergeCell ref="C19:D19"/>
    <mergeCell ref="C28:D28"/>
    <mergeCell ref="C29:D29"/>
    <mergeCell ref="C31:D31"/>
    <mergeCell ref="C26:D26"/>
    <mergeCell ref="C44:D44"/>
    <mergeCell ref="C45:D45"/>
    <mergeCell ref="C35:D35"/>
    <mergeCell ref="C38:D38"/>
    <mergeCell ref="C39:D39"/>
  </mergeCells>
  <printOptions horizontalCentered="1"/>
  <pageMargins left="0.75" right="0.75" top="1" bottom="1" header="0.5" footer="0.5"/>
  <pageSetup fitToHeight="1" fitToWidth="1" horizontalDpi="600" verticalDpi="600" orientation="portrait" paperSize="9" scale="97" r:id="rId2"/>
  <legacyDrawing r:id="rId1"/>
</worksheet>
</file>

<file path=xl/worksheets/sheet3.xml><?xml version="1.0" encoding="utf-8"?>
<worksheet xmlns="http://schemas.openxmlformats.org/spreadsheetml/2006/main" xmlns:r="http://schemas.openxmlformats.org/officeDocument/2006/relationships">
  <sheetPr codeName="Sheet21">
    <pageSetUpPr fitToPage="1"/>
  </sheetPr>
  <dimension ref="A1:N49"/>
  <sheetViews>
    <sheetView showGridLines="0" zoomScale="125" zoomScaleNormal="125" workbookViewId="0" topLeftCell="A1">
      <selection activeCell="G19" sqref="G19"/>
    </sheetView>
  </sheetViews>
  <sheetFormatPr defaultColWidth="9.140625" defaultRowHeight="12.75"/>
  <cols>
    <col min="1" max="1" width="1.7109375" style="0" customWidth="1"/>
    <col min="2" max="2" width="49.140625" style="0" bestFit="1" customWidth="1"/>
    <col min="3" max="3" width="19.00390625" style="3" bestFit="1" customWidth="1"/>
    <col min="4" max="4" width="18.00390625" style="3" bestFit="1" customWidth="1"/>
    <col min="5" max="5" width="2.57421875" style="18" customWidth="1"/>
    <col min="6" max="6" width="13.00390625" style="50" bestFit="1" customWidth="1"/>
    <col min="7" max="7" width="28.140625" style="47" bestFit="1" customWidth="1"/>
    <col min="8" max="14" width="9.140625" style="47" customWidth="1"/>
  </cols>
  <sheetData>
    <row r="1" spans="2:14" s="1" customFormat="1" ht="32.25" customHeight="1">
      <c r="B1" s="11" t="s">
        <v>65</v>
      </c>
      <c r="C1" s="2"/>
      <c r="D1" s="2"/>
      <c r="E1" s="17"/>
      <c r="F1" s="48"/>
      <c r="G1" s="49"/>
      <c r="H1" s="49"/>
      <c r="I1" s="49"/>
      <c r="J1" s="49"/>
      <c r="K1" s="49"/>
      <c r="L1" s="49"/>
      <c r="M1" s="49"/>
      <c r="N1" s="49"/>
    </row>
    <row r="2" spans="2:4" ht="12.75">
      <c r="B2" s="5" t="str">
        <f>Assumptions!B5</f>
        <v>Customer Parameters</v>
      </c>
      <c r="C2" s="119" t="str">
        <f>Assumptions!C5</f>
        <v>Input Assumptions</v>
      </c>
      <c r="D2" s="119"/>
    </row>
    <row r="3" spans="2:4" ht="12.75">
      <c r="B3" s="56" t="s">
        <v>86</v>
      </c>
      <c r="C3" s="59" t="str">
        <f>TAR_EFF_DATE</f>
        <v>October 1st 2009</v>
      </c>
      <c r="D3" s="57"/>
    </row>
    <row r="4" spans="2:4" ht="12.75">
      <c r="B4" t="str">
        <f>Assumptions!B6</f>
        <v>Charging Period</v>
      </c>
      <c r="C4" s="21">
        <f>IF(VALID_D1=1,CHARPER,"")</f>
      </c>
      <c r="D4" s="21"/>
    </row>
    <row r="5" spans="2:4" ht="12.75">
      <c r="B5" t="str">
        <f>Assumptions!B7</f>
        <v>Supplier</v>
      </c>
      <c r="C5" s="21">
        <f>IF(VALID_D1=1,SUPP,"")</f>
      </c>
      <c r="D5" s="21"/>
    </row>
    <row r="6" spans="2:4" ht="12.75">
      <c r="B6" t="str">
        <f>Assumptions!B8</f>
        <v>Supplier's Customer</v>
      </c>
      <c r="C6" s="21">
        <f>IF(VALID_D1=1,CUST,"")</f>
      </c>
      <c r="D6" s="21"/>
    </row>
    <row r="7" spans="2:4" ht="12.75">
      <c r="B7" s="1" t="str">
        <f>Assumptions!B10</f>
        <v>Connection Voltage</v>
      </c>
      <c r="C7" s="21" t="str">
        <f>VLOOKUP('Tariff Rates &amp; Loss Factors'!$D$8,DLAF,4)</f>
        <v>110 kV or higher</v>
      </c>
      <c r="D7" s="21"/>
    </row>
    <row r="8" spans="2:4" ht="12.75">
      <c r="B8" s="1" t="str">
        <f>Assumptions!B9</f>
        <v>Connection to</v>
      </c>
      <c r="C8" s="21" t="str">
        <f>VLOOKUP('Tariff Rates &amp; Loss Factors'!$F$19,CONN_TO,2)</f>
        <v>Transmission System</v>
      </c>
      <c r="D8" s="21"/>
    </row>
    <row r="9" spans="2:4" ht="12.75">
      <c r="B9" t="str">
        <f>Assumptions!B11</f>
        <v>Maximum Import Capacity @ exit point *</v>
      </c>
      <c r="C9" s="22">
        <f>MIC</f>
        <v>5</v>
      </c>
      <c r="D9" s="21"/>
    </row>
    <row r="10" spans="2:4" ht="12.75">
      <c r="B10" t="str">
        <f>Assumptions!B12</f>
        <v>Load Factor *</v>
      </c>
      <c r="C10" s="30">
        <f>LF</f>
        <v>0.72</v>
      </c>
      <c r="D10" s="21"/>
    </row>
    <row r="11" spans="2:4" ht="12.75">
      <c r="B11" t="str">
        <f>Assumptions!B13</f>
        <v>Day Load Factor * (Day Hours - 8am to 11pm)</v>
      </c>
      <c r="C11" s="30">
        <f>DLF</f>
        <v>0.66</v>
      </c>
      <c r="D11" s="21"/>
    </row>
    <row r="12" spans="2:4" ht="12.75">
      <c r="B12" t="str">
        <f>Assumptions!B14</f>
        <v>Highest Metered Demand @ exit point *</v>
      </c>
      <c r="C12" s="22">
        <f>PKLOAD</f>
        <v>4.5</v>
      </c>
      <c r="D12" s="21"/>
    </row>
    <row r="13" spans="2:4" ht="12.75">
      <c r="B13" t="s">
        <v>58</v>
      </c>
      <c r="C13" s="24">
        <f>(C14/24)*15</f>
        <v>456.25</v>
      </c>
      <c r="D13" s="21"/>
    </row>
    <row r="14" spans="2:4" ht="12.75">
      <c r="B14" t="s">
        <v>79</v>
      </c>
      <c r="C14" s="24">
        <f>AVG_HOURS_IN_MONTH</f>
        <v>730</v>
      </c>
      <c r="D14" s="21"/>
    </row>
    <row r="15" spans="2:4" ht="12.75">
      <c r="B15" t="s">
        <v>63</v>
      </c>
      <c r="C15" s="25">
        <f>C13*C11*C12</f>
        <v>1355.0625</v>
      </c>
      <c r="D15" s="21"/>
    </row>
    <row r="16" spans="2:4" ht="12.75">
      <c r="B16" t="s">
        <v>62</v>
      </c>
      <c r="C16" s="25">
        <f>C14*C10*C12</f>
        <v>2365.2000000000003</v>
      </c>
      <c r="D16" s="21"/>
    </row>
    <row r="17" spans="2:4" ht="12.75">
      <c r="B17" t="s">
        <v>68</v>
      </c>
      <c r="C17" s="31">
        <f>VLOOKUP('Tariff Rates &amp; Loss Factors'!$D$8,DLAF,2)</f>
        <v>1</v>
      </c>
      <c r="D17" s="31"/>
    </row>
    <row r="18" spans="2:4" ht="12.75">
      <c r="B18" t="s">
        <v>69</v>
      </c>
      <c r="C18" s="31">
        <f>VLOOKUP('Tariff Rates &amp; Loss Factors'!$D$8,DLAF,3)</f>
        <v>1</v>
      </c>
      <c r="D18" s="31"/>
    </row>
    <row r="19" spans="2:4" ht="12.75">
      <c r="B19" t="s">
        <v>70</v>
      </c>
      <c r="C19" s="25">
        <f>C17*C15</f>
        <v>1355.0625</v>
      </c>
      <c r="D19" s="25"/>
    </row>
    <row r="20" spans="2:4" ht="12.75">
      <c r="B20" t="s">
        <v>71</v>
      </c>
      <c r="C20" s="25">
        <f>(C16-C15)*C18</f>
        <v>1010.1375000000003</v>
      </c>
      <c r="D20" s="25"/>
    </row>
    <row r="21" spans="2:4" ht="12.75">
      <c r="B21" t="s">
        <v>72</v>
      </c>
      <c r="C21" s="25">
        <f>SUM(C19:C20)</f>
        <v>2365.2000000000003</v>
      </c>
      <c r="D21" s="25"/>
    </row>
    <row r="22" spans="2:4" ht="12.75">
      <c r="B22" s="5" t="s">
        <v>59</v>
      </c>
      <c r="C22" s="119" t="s">
        <v>60</v>
      </c>
      <c r="D22" s="119"/>
    </row>
    <row r="23" spans="3:4" ht="12.75">
      <c r="C23" s="115" t="s">
        <v>61</v>
      </c>
      <c r="D23" s="115"/>
    </row>
    <row r="24" spans="2:6" ht="12.75">
      <c r="B24" s="6" t="s">
        <v>10</v>
      </c>
      <c r="C24" s="116">
        <f>ROUND(C28*C26,2)</f>
        <v>0</v>
      </c>
      <c r="D24" s="116"/>
      <c r="E24" s="16"/>
      <c r="F24" s="95" t="s">
        <v>101</v>
      </c>
    </row>
    <row r="25" spans="2:7" ht="12.75">
      <c r="B25" s="61" t="s">
        <v>11</v>
      </c>
      <c r="C25" s="117">
        <f>MIC</f>
        <v>5</v>
      </c>
      <c r="D25" s="117"/>
      <c r="E25" s="7"/>
      <c r="F25" s="94">
        <f>MIC*HADLAF</f>
        <v>5</v>
      </c>
      <c r="G25" s="47" t="s">
        <v>34</v>
      </c>
    </row>
    <row r="26" spans="2:7" ht="12.75">
      <c r="B26" s="61" t="str">
        <f>"     "&amp;'Tariff Rates &amp; Loss Factors'!A4</f>
        <v>     Network Capacity Charge Rate (DTS-D1)</v>
      </c>
      <c r="C26" s="120">
        <f>NCCR_D1*VALID_D1</f>
        <v>0</v>
      </c>
      <c r="D26" s="120"/>
      <c r="E26" s="14"/>
      <c r="F26" s="94">
        <f>PKLOAD*HADLAF</f>
        <v>4.5</v>
      </c>
      <c r="G26" s="47" t="s">
        <v>100</v>
      </c>
    </row>
    <row r="27" spans="2:7" ht="12.75">
      <c r="B27" s="61" t="s">
        <v>14</v>
      </c>
      <c r="C27" s="117">
        <f>PKLOAD*C17</f>
        <v>4.5</v>
      </c>
      <c r="D27" s="117"/>
      <c r="E27" s="7"/>
      <c r="F27" s="94">
        <f>0.8*MIC*HADLAF</f>
        <v>4</v>
      </c>
      <c r="G27" s="47" t="s">
        <v>35</v>
      </c>
    </row>
    <row r="28" spans="2:7" ht="12.75">
      <c r="B28" s="61" t="s">
        <v>15</v>
      </c>
      <c r="C28" s="117">
        <f>MIN(MIC*HADLAF,MAX(HMD_DTS_D1,MAX((MIC*HADLAF)-4,MIC*HADLAF*0.8)))</f>
        <v>4.5</v>
      </c>
      <c r="D28" s="117"/>
      <c r="E28" s="7"/>
      <c r="F28" s="94">
        <f>(MIC*HADLAF)-4</f>
        <v>1</v>
      </c>
      <c r="G28" s="47" t="s">
        <v>36</v>
      </c>
    </row>
    <row r="29" spans="2:5" ht="12.75">
      <c r="B29" s="6" t="s">
        <v>27</v>
      </c>
      <c r="C29" s="116">
        <f>ROUND(C31*C30,2)</f>
        <v>0</v>
      </c>
      <c r="D29" s="116"/>
      <c r="E29" s="16"/>
    </row>
    <row r="30" spans="2:5" ht="12.75">
      <c r="B30" s="61" t="str">
        <f>"     "&amp;'Tariff Rates &amp; Loss Factors'!A7</f>
        <v>     Network Transfer Charge Rate</v>
      </c>
      <c r="C30" s="113">
        <f>NTCR*VALID_D1</f>
        <v>0</v>
      </c>
      <c r="D30" s="113"/>
      <c r="E30" s="15"/>
    </row>
    <row r="31" spans="2:5" ht="12.75">
      <c r="B31" s="61" t="s">
        <v>19</v>
      </c>
      <c r="C31" s="118">
        <f>C21</f>
        <v>2365.2000000000003</v>
      </c>
      <c r="D31" s="118"/>
      <c r="E31" s="19"/>
    </row>
    <row r="32" spans="2:5" ht="12.75">
      <c r="B32" s="6" t="s">
        <v>28</v>
      </c>
      <c r="C32" s="116">
        <f>ROUND(C34*C33,2)</f>
        <v>0</v>
      </c>
      <c r="D32" s="116"/>
      <c r="E32" s="16"/>
    </row>
    <row r="33" spans="2:5" ht="12.75">
      <c r="B33" s="61" t="str">
        <f>"     "&amp;'Tariff Rates &amp; Loss Factors'!A8</f>
        <v>     System Services Charge Rate</v>
      </c>
      <c r="C33" s="113">
        <f>SSCR*VALID_D1</f>
        <v>0</v>
      </c>
      <c r="D33" s="113"/>
      <c r="E33" s="15"/>
    </row>
    <row r="34" spans="2:5" ht="12.75">
      <c r="B34" s="61" t="str">
        <f>B31</f>
        <v>     Total Metered Energy Transferred</v>
      </c>
      <c r="C34" s="118">
        <f>C31</f>
        <v>2365.2000000000003</v>
      </c>
      <c r="D34" s="118"/>
      <c r="E34" s="19"/>
    </row>
    <row r="35" spans="2:5" ht="12.75">
      <c r="B35" s="6" t="s">
        <v>85</v>
      </c>
      <c r="C35" s="116">
        <f>ROUND(C37*C36,2)</f>
        <v>0</v>
      </c>
      <c r="D35" s="116"/>
      <c r="E35" s="19"/>
    </row>
    <row r="36" spans="2:5" ht="12.75">
      <c r="B36" s="61" t="str">
        <f>"     "&amp;'Tariff Rates &amp; Loss Factors'!A9</f>
        <v>     Demand Side Management Charge Rate</v>
      </c>
      <c r="C36" s="113">
        <f>CMCR*VALID_D1</f>
        <v>0</v>
      </c>
      <c r="D36" s="113"/>
      <c r="E36" s="19"/>
    </row>
    <row r="37" spans="2:5" ht="12.75">
      <c r="B37" s="61" t="s">
        <v>26</v>
      </c>
      <c r="C37" s="118">
        <f>C19</f>
        <v>1355.0625</v>
      </c>
      <c r="D37" s="118"/>
      <c r="E37" s="19"/>
    </row>
    <row r="38" spans="2:5" ht="12.75">
      <c r="B38" s="6" t="s">
        <v>21</v>
      </c>
      <c r="C38" s="116">
        <f>SUM(C32,C29,C24,C35)</f>
        <v>0</v>
      </c>
      <c r="D38" s="116"/>
      <c r="E38" s="16"/>
    </row>
    <row r="39" spans="2:5" ht="12.75">
      <c r="B39" t="s">
        <v>22</v>
      </c>
      <c r="C39" s="114">
        <f>C38*VAT</f>
        <v>0</v>
      </c>
      <c r="D39" s="114"/>
      <c r="E39" s="16"/>
    </row>
    <row r="40" spans="2:5" ht="13.5" thickBot="1">
      <c r="B40" s="6" t="s">
        <v>23</v>
      </c>
      <c r="C40" s="91">
        <f>C38+C39</f>
        <v>0</v>
      </c>
      <c r="D40" s="91"/>
      <c r="E40" s="20"/>
    </row>
    <row r="41" ht="14.25" thickBot="1" thickTop="1"/>
    <row r="42" spans="1:5" ht="12.75">
      <c r="A42" s="26"/>
      <c r="B42" s="106" t="s">
        <v>73</v>
      </c>
      <c r="C42" s="111">
        <f>C38/C16</f>
        <v>0</v>
      </c>
      <c r="D42" s="111"/>
      <c r="E42" s="27"/>
    </row>
    <row r="43" spans="1:5" ht="13.5" thickBot="1">
      <c r="A43" s="28"/>
      <c r="B43" s="100"/>
      <c r="C43" s="112">
        <f>C42/10</f>
        <v>0</v>
      </c>
      <c r="D43" s="112"/>
      <c r="E43" s="29"/>
    </row>
    <row r="44" ht="13.5" thickBot="1"/>
    <row r="45" spans="1:5" ht="12.75">
      <c r="A45" s="26"/>
      <c r="B45" s="106" t="s">
        <v>83</v>
      </c>
      <c r="C45" s="111">
        <f>C40/C16</f>
        <v>0</v>
      </c>
      <c r="D45" s="111"/>
      <c r="E45" s="27"/>
    </row>
    <row r="46" spans="1:5" ht="13.5" thickBot="1">
      <c r="A46" s="28"/>
      <c r="B46" s="100"/>
      <c r="C46" s="112">
        <f>C45/10</f>
        <v>0</v>
      </c>
      <c r="D46" s="112"/>
      <c r="E46" s="29"/>
    </row>
    <row r="47" ht="12.75">
      <c r="B47" s="68" t="str">
        <f>Assumptions!B18</f>
        <v>* input based on demand &amp; consumption at customer location exclusive of application of distribution loss factors </v>
      </c>
    </row>
    <row r="48" ht="12.75">
      <c r="B48" s="68"/>
    </row>
    <row r="49" spans="2:4" ht="34.5" customHeight="1">
      <c r="B49" s="105" t="str">
        <f>Assumptions!$B$1</f>
        <v>Disclaimer:
EirGrid has provided this program as an aid to Suppliers and Demand Customers. Although every effort has been made to ensure the accuracy of the material contained in this spreadsheet, complete accuracy cannot be guaranteed. EirGrid cannot accept any responsibility whatsoever for loss or damage occasioned or claimed to have been occasioned, in part or in full, as a consequence of any person acting, or refraining from acting, as a result of a matter contained in this spreadsheet.</v>
      </c>
      <c r="C49" s="105"/>
      <c r="D49" s="105"/>
    </row>
  </sheetData>
  <mergeCells count="27">
    <mergeCell ref="B49:D49"/>
    <mergeCell ref="B45:B46"/>
    <mergeCell ref="C31:D31"/>
    <mergeCell ref="C34:D34"/>
    <mergeCell ref="B42:B43"/>
    <mergeCell ref="C37:D37"/>
    <mergeCell ref="C35:D35"/>
    <mergeCell ref="C36:D36"/>
    <mergeCell ref="C38:D38"/>
    <mergeCell ref="C39:D39"/>
    <mergeCell ref="C28:D28"/>
    <mergeCell ref="C2:D2"/>
    <mergeCell ref="C22:D22"/>
    <mergeCell ref="C25:D25"/>
    <mergeCell ref="C27:D27"/>
    <mergeCell ref="C23:D23"/>
    <mergeCell ref="C24:D24"/>
    <mergeCell ref="C46:D46"/>
    <mergeCell ref="C26:D26"/>
    <mergeCell ref="C40:D40"/>
    <mergeCell ref="C42:D42"/>
    <mergeCell ref="C43:D43"/>
    <mergeCell ref="C45:D45"/>
    <mergeCell ref="C29:D29"/>
    <mergeCell ref="C30:D30"/>
    <mergeCell ref="C32:D32"/>
    <mergeCell ref="C33:D33"/>
  </mergeCells>
  <printOptions horizontalCentered="1"/>
  <pageMargins left="0.75" right="0.75" top="1" bottom="1" header="0.5" footer="0.5"/>
  <pageSetup fitToHeight="1" fitToWidth="1" horizontalDpi="600" verticalDpi="600" orientation="portrait" paperSize="9" scale="97" r:id="rId2"/>
  <legacyDrawing r:id="rId1"/>
</worksheet>
</file>

<file path=xl/worksheets/sheet4.xml><?xml version="1.0" encoding="utf-8"?>
<worksheet xmlns="http://schemas.openxmlformats.org/spreadsheetml/2006/main" xmlns:r="http://schemas.openxmlformats.org/officeDocument/2006/relationships">
  <sheetPr codeName="Sheet211">
    <pageSetUpPr fitToPage="1"/>
  </sheetPr>
  <dimension ref="A1:N47"/>
  <sheetViews>
    <sheetView showGridLines="0" zoomScale="125" zoomScaleNormal="125" workbookViewId="0" topLeftCell="A1">
      <selection activeCell="A20" sqref="A20"/>
    </sheetView>
  </sheetViews>
  <sheetFormatPr defaultColWidth="9.140625" defaultRowHeight="12.75"/>
  <cols>
    <col min="1" max="1" width="1.7109375" style="0" customWidth="1"/>
    <col min="2" max="2" width="49.140625" style="0" bestFit="1" customWidth="1"/>
    <col min="3" max="3" width="19.00390625" style="3" bestFit="1" customWidth="1"/>
    <col min="4" max="4" width="17.8515625" style="3" bestFit="1" customWidth="1"/>
    <col min="5" max="5" width="2.57421875" style="18" customWidth="1"/>
    <col min="6" max="6" width="13.00390625" style="50" bestFit="1" customWidth="1"/>
    <col min="7" max="7" width="28.140625" style="47" bestFit="1" customWidth="1"/>
    <col min="8" max="14" width="9.140625" style="47" customWidth="1"/>
  </cols>
  <sheetData>
    <row r="1" spans="2:14" s="1" customFormat="1" ht="32.25" customHeight="1">
      <c r="B1" s="11" t="s">
        <v>77</v>
      </c>
      <c r="C1" s="2"/>
      <c r="D1" s="2"/>
      <c r="E1" s="17"/>
      <c r="F1" s="48"/>
      <c r="G1" s="49"/>
      <c r="H1" s="49"/>
      <c r="I1" s="49"/>
      <c r="J1" s="49"/>
      <c r="K1" s="49"/>
      <c r="L1" s="49"/>
      <c r="M1" s="49"/>
      <c r="N1" s="49"/>
    </row>
    <row r="2" spans="2:4" ht="12.75">
      <c r="B2" s="5" t="str">
        <f>Assumptions!B5</f>
        <v>Customer Parameters</v>
      </c>
      <c r="C2" s="119" t="str">
        <f>Assumptions!C5</f>
        <v>Input Assumptions</v>
      </c>
      <c r="D2" s="119"/>
    </row>
    <row r="3" spans="2:4" ht="12.75">
      <c r="B3" s="56" t="s">
        <v>86</v>
      </c>
      <c r="C3" s="126" t="str">
        <f>TAR_EFF_DATE</f>
        <v>October 1st 2009</v>
      </c>
      <c r="D3" s="126"/>
    </row>
    <row r="4" spans="2:4" ht="12.75">
      <c r="B4" t="str">
        <f>Assumptions!B6</f>
        <v>Charging Period</v>
      </c>
      <c r="C4" s="115">
        <f>IF(VALID_D2=1,CHARPER,"")</f>
      </c>
      <c r="D4" s="115"/>
    </row>
    <row r="5" spans="2:4" ht="12.75">
      <c r="B5" t="str">
        <f>Assumptions!B7</f>
        <v>Supplier</v>
      </c>
      <c r="C5" s="115">
        <f>IF(VALID_D2=1,SUPP,"")</f>
      </c>
      <c r="D5" s="115"/>
    </row>
    <row r="6" spans="2:4" ht="12.75">
      <c r="B6" t="str">
        <f>Assumptions!B8</f>
        <v>Supplier's Customer</v>
      </c>
      <c r="C6" s="115">
        <f>IF(VALID_D2=1,CUST,"")</f>
      </c>
      <c r="D6" s="115"/>
    </row>
    <row r="7" spans="2:4" ht="12.75">
      <c r="B7" s="1" t="str">
        <f>Assumptions!B10</f>
        <v>Connection Voltage</v>
      </c>
      <c r="C7" s="115" t="str">
        <f>VLOOKUP('Tariff Rates &amp; Loss Factors'!$D$8,DLAF,4)</f>
        <v>110 kV or higher</v>
      </c>
      <c r="D7" s="115"/>
    </row>
    <row r="8" spans="2:4" ht="12.75">
      <c r="B8" s="1" t="str">
        <f>Assumptions!B9</f>
        <v>Connection to</v>
      </c>
      <c r="C8" s="115" t="str">
        <f>VLOOKUP('Tariff Rates &amp; Loss Factors'!$F$19,CONN_TO,2)</f>
        <v>Transmission System</v>
      </c>
      <c r="D8" s="115"/>
    </row>
    <row r="9" spans="2:4" ht="12.75">
      <c r="B9" t="str">
        <f>Assumptions!B11</f>
        <v>Maximum Import Capacity @ exit point *</v>
      </c>
      <c r="C9" s="124">
        <f>MIC</f>
        <v>5</v>
      </c>
      <c r="D9" s="124"/>
    </row>
    <row r="10" spans="2:4" ht="12.75">
      <c r="B10" t="str">
        <f>Assumptions!B12</f>
        <v>Load Factor *</v>
      </c>
      <c r="C10" s="125">
        <f>LF</f>
        <v>0.72</v>
      </c>
      <c r="D10" s="125"/>
    </row>
    <row r="11" spans="2:4" ht="12.75">
      <c r="B11" t="str">
        <f>Assumptions!B13</f>
        <v>Day Load Factor * (Day Hours - 8am to 11pm)</v>
      </c>
      <c r="C11" s="125">
        <f>DLF</f>
        <v>0.66</v>
      </c>
      <c r="D11" s="125"/>
    </row>
    <row r="12" spans="2:4" ht="12.75">
      <c r="B12" t="str">
        <f>Assumptions!B14</f>
        <v>Highest Metered Demand @ exit point *</v>
      </c>
      <c r="C12" s="124">
        <f>PKLOAD</f>
        <v>4.5</v>
      </c>
      <c r="D12" s="124"/>
    </row>
    <row r="13" spans="2:4" ht="12.75">
      <c r="B13" t="s">
        <v>58</v>
      </c>
      <c r="C13" s="123">
        <f>(C14/24)*15</f>
        <v>456.25</v>
      </c>
      <c r="D13" s="123"/>
    </row>
    <row r="14" spans="2:4" ht="12.75">
      <c r="B14" t="s">
        <v>79</v>
      </c>
      <c r="C14" s="123">
        <f>AVG_HOURS_IN_MONTH</f>
        <v>730</v>
      </c>
      <c r="D14" s="123"/>
    </row>
    <row r="15" spans="2:4" ht="12.75">
      <c r="B15" t="s">
        <v>63</v>
      </c>
      <c r="C15" s="121">
        <f>C13*C11*C12</f>
        <v>1355.0625</v>
      </c>
      <c r="D15" s="121"/>
    </row>
    <row r="16" spans="2:4" ht="12.75">
      <c r="B16" t="s">
        <v>62</v>
      </c>
      <c r="C16" s="121">
        <f>C14*C10*C12</f>
        <v>2365.2000000000003</v>
      </c>
      <c r="D16" s="121"/>
    </row>
    <row r="17" spans="2:4" ht="12.75">
      <c r="B17" t="s">
        <v>68</v>
      </c>
      <c r="C17" s="122">
        <f>VLOOKUP('Tariff Rates &amp; Loss Factors'!$D$8,DLAF,2)</f>
        <v>1</v>
      </c>
      <c r="D17" s="122"/>
    </row>
    <row r="18" spans="2:4" ht="12.75">
      <c r="B18" t="s">
        <v>69</v>
      </c>
      <c r="C18" s="122">
        <f>VLOOKUP('Tariff Rates &amp; Loss Factors'!$D$8,DLAF,3)</f>
        <v>1</v>
      </c>
      <c r="D18" s="122"/>
    </row>
    <row r="19" spans="2:4" ht="12.75">
      <c r="B19" t="s">
        <v>70</v>
      </c>
      <c r="C19" s="121">
        <f>C17*C15</f>
        <v>1355.0625</v>
      </c>
      <c r="D19" s="121"/>
    </row>
    <row r="20" spans="2:4" ht="12.75">
      <c r="B20" t="s">
        <v>71</v>
      </c>
      <c r="C20" s="121">
        <f>(C16-C15)*C18</f>
        <v>1010.1375000000003</v>
      </c>
      <c r="D20" s="121"/>
    </row>
    <row r="21" spans="2:4" ht="12.75">
      <c r="B21" t="s">
        <v>72</v>
      </c>
      <c r="C21" s="121">
        <f>SUM(C19:C20)</f>
        <v>2365.2000000000003</v>
      </c>
      <c r="D21" s="121"/>
    </row>
    <row r="22" spans="2:4" ht="12.75">
      <c r="B22" s="5" t="s">
        <v>59</v>
      </c>
      <c r="C22" s="119" t="s">
        <v>60</v>
      </c>
      <c r="D22" s="119"/>
    </row>
    <row r="23" spans="3:4" ht="12.75">
      <c r="C23" s="115" t="s">
        <v>61</v>
      </c>
      <c r="D23" s="115"/>
    </row>
    <row r="24" spans="2:5" ht="12.75">
      <c r="B24" s="6" t="s">
        <v>10</v>
      </c>
      <c r="C24" s="116">
        <f>ROUND(C26*C25,2)</f>
        <v>0</v>
      </c>
      <c r="D24" s="116"/>
      <c r="E24" s="16"/>
    </row>
    <row r="25" spans="2:14" s="61" customFormat="1" ht="11.25">
      <c r="B25" s="61" t="str">
        <f>"     "&amp;'Tariff Rates &amp; Loss Factors'!A5</f>
        <v>     Network Capacity Charge Rate (DTS-D2)</v>
      </c>
      <c r="C25" s="113">
        <f>NCCR_D2*VALID_D2</f>
        <v>0</v>
      </c>
      <c r="D25" s="113"/>
      <c r="E25" s="58"/>
      <c r="F25" s="62"/>
      <c r="G25" s="63"/>
      <c r="H25" s="63"/>
      <c r="I25" s="63"/>
      <c r="J25" s="63"/>
      <c r="K25" s="63"/>
      <c r="L25" s="63"/>
      <c r="M25" s="63"/>
      <c r="N25" s="63"/>
    </row>
    <row r="26" spans="2:14" s="61" customFormat="1" ht="11.25">
      <c r="B26" s="61" t="s">
        <v>26</v>
      </c>
      <c r="C26" s="118">
        <f>C19</f>
        <v>1355.0625</v>
      </c>
      <c r="D26" s="118"/>
      <c r="E26" s="64"/>
      <c r="F26" s="62"/>
      <c r="G26" s="63"/>
      <c r="H26" s="63"/>
      <c r="I26" s="63"/>
      <c r="J26" s="63"/>
      <c r="K26" s="63"/>
      <c r="L26" s="63"/>
      <c r="M26" s="63"/>
      <c r="N26" s="63"/>
    </row>
    <row r="27" spans="2:5" ht="12.75">
      <c r="B27" s="8" t="s">
        <v>27</v>
      </c>
      <c r="C27" s="116">
        <f>ROUND(C29*C28,2)</f>
        <v>0</v>
      </c>
      <c r="D27" s="116"/>
      <c r="E27" s="16"/>
    </row>
    <row r="28" spans="2:14" s="61" customFormat="1" ht="11.25">
      <c r="B28" s="61" t="str">
        <f>"     "&amp;'Tariff Rates &amp; Loss Factors'!A7</f>
        <v>     Network Transfer Charge Rate</v>
      </c>
      <c r="C28" s="113">
        <f>NTCR*VALID_D2</f>
        <v>0</v>
      </c>
      <c r="D28" s="113"/>
      <c r="E28" s="60"/>
      <c r="F28" s="62"/>
      <c r="G28" s="63"/>
      <c r="H28" s="63"/>
      <c r="I28" s="63"/>
      <c r="J28" s="63"/>
      <c r="K28" s="63"/>
      <c r="L28" s="63"/>
      <c r="M28" s="63"/>
      <c r="N28" s="63"/>
    </row>
    <row r="29" spans="2:14" s="61" customFormat="1" ht="11.25">
      <c r="B29" s="61" t="s">
        <v>19</v>
      </c>
      <c r="C29" s="118">
        <f>C21</f>
        <v>2365.2000000000003</v>
      </c>
      <c r="D29" s="118"/>
      <c r="E29" s="65"/>
      <c r="F29" s="62"/>
      <c r="G29" s="63"/>
      <c r="H29" s="63"/>
      <c r="I29" s="63"/>
      <c r="J29" s="63"/>
      <c r="K29" s="63"/>
      <c r="L29" s="63"/>
      <c r="M29" s="63"/>
      <c r="N29" s="63"/>
    </row>
    <row r="30" spans="2:5" ht="12.75">
      <c r="B30" s="6" t="s">
        <v>28</v>
      </c>
      <c r="C30" s="116">
        <f>ROUND(C32*C31,2)</f>
        <v>0</v>
      </c>
      <c r="D30" s="116"/>
      <c r="E30" s="16"/>
    </row>
    <row r="31" spans="2:14" s="61" customFormat="1" ht="11.25">
      <c r="B31" s="61" t="str">
        <f>"     "&amp;'Tariff Rates &amp; Loss Factors'!A8</f>
        <v>     System Services Charge Rate</v>
      </c>
      <c r="C31" s="113">
        <f>SSCR*VALID_D2</f>
        <v>0</v>
      </c>
      <c r="D31" s="113"/>
      <c r="E31" s="60"/>
      <c r="F31" s="62"/>
      <c r="G31" s="63"/>
      <c r="H31" s="63"/>
      <c r="I31" s="63"/>
      <c r="J31" s="63"/>
      <c r="K31" s="63"/>
      <c r="L31" s="63"/>
      <c r="M31" s="63"/>
      <c r="N31" s="63"/>
    </row>
    <row r="32" spans="2:14" s="61" customFormat="1" ht="11.25">
      <c r="B32" s="61" t="str">
        <f>B29</f>
        <v>     Total Metered Energy Transferred</v>
      </c>
      <c r="C32" s="118">
        <f>C29</f>
        <v>2365.2000000000003</v>
      </c>
      <c r="D32" s="118"/>
      <c r="E32" s="65"/>
      <c r="F32" s="62"/>
      <c r="G32" s="63"/>
      <c r="H32" s="63"/>
      <c r="I32" s="63"/>
      <c r="J32" s="63"/>
      <c r="K32" s="63"/>
      <c r="L32" s="63"/>
      <c r="M32" s="63"/>
      <c r="N32" s="63"/>
    </row>
    <row r="33" spans="2:5" ht="12.75">
      <c r="B33" s="6" t="s">
        <v>85</v>
      </c>
      <c r="C33" s="116">
        <f>ROUND(C35*C34,2)</f>
        <v>0</v>
      </c>
      <c r="D33" s="116"/>
      <c r="E33" s="19"/>
    </row>
    <row r="34" spans="2:14" s="61" customFormat="1" ht="11.25">
      <c r="B34" s="61" t="str">
        <f>"     "&amp;'Tariff Rates &amp; Loss Factors'!A9</f>
        <v>     Demand Side Management Charge Rate</v>
      </c>
      <c r="C34" s="113">
        <f>CMCR*VALID_D2</f>
        <v>0</v>
      </c>
      <c r="D34" s="113"/>
      <c r="E34" s="65"/>
      <c r="F34" s="62"/>
      <c r="G34" s="63"/>
      <c r="H34" s="63"/>
      <c r="I34" s="63"/>
      <c r="J34" s="63"/>
      <c r="K34" s="63"/>
      <c r="L34" s="63"/>
      <c r="M34" s="63"/>
      <c r="N34" s="63"/>
    </row>
    <row r="35" spans="2:14" s="61" customFormat="1" ht="11.25">
      <c r="B35" s="61" t="s">
        <v>26</v>
      </c>
      <c r="C35" s="118">
        <f>C19</f>
        <v>1355.0625</v>
      </c>
      <c r="D35" s="118"/>
      <c r="E35" s="65"/>
      <c r="F35" s="62"/>
      <c r="G35" s="63"/>
      <c r="H35" s="63"/>
      <c r="I35" s="63"/>
      <c r="J35" s="63"/>
      <c r="K35" s="63"/>
      <c r="L35" s="63"/>
      <c r="M35" s="63"/>
      <c r="N35" s="63"/>
    </row>
    <row r="36" spans="2:5" ht="12.75">
      <c r="B36" s="6" t="s">
        <v>21</v>
      </c>
      <c r="C36" s="116">
        <f>SUM(C30,C27,C24,C33)</f>
        <v>0</v>
      </c>
      <c r="D36" s="116"/>
      <c r="E36" s="16"/>
    </row>
    <row r="37" spans="2:5" ht="12.75">
      <c r="B37" t="s">
        <v>22</v>
      </c>
      <c r="C37" s="114">
        <f>C36*VAT</f>
        <v>0</v>
      </c>
      <c r="D37" s="114"/>
      <c r="E37" s="16"/>
    </row>
    <row r="38" spans="2:5" ht="13.5" thickBot="1">
      <c r="B38" s="6" t="s">
        <v>23</v>
      </c>
      <c r="C38" s="91">
        <f>C36+C37</f>
        <v>0</v>
      </c>
      <c r="D38" s="91"/>
      <c r="E38" s="20"/>
    </row>
    <row r="39" ht="14.25" thickBot="1" thickTop="1"/>
    <row r="40" spans="1:5" ht="12.75">
      <c r="A40" s="26"/>
      <c r="B40" s="106" t="s">
        <v>75</v>
      </c>
      <c r="C40" s="111">
        <f>C36/C16</f>
        <v>0</v>
      </c>
      <c r="D40" s="111"/>
      <c r="E40" s="27"/>
    </row>
    <row r="41" spans="1:5" ht="13.5" thickBot="1">
      <c r="A41" s="28"/>
      <c r="B41" s="100"/>
      <c r="C41" s="112">
        <f>C40/10</f>
        <v>0</v>
      </c>
      <c r="D41" s="112"/>
      <c r="E41" s="29"/>
    </row>
    <row r="42" ht="13.5" thickBot="1"/>
    <row r="43" spans="1:5" ht="12.75">
      <c r="A43" s="26"/>
      <c r="B43" s="106" t="s">
        <v>84</v>
      </c>
      <c r="C43" s="111">
        <f>C38/C16</f>
        <v>0</v>
      </c>
      <c r="D43" s="111"/>
      <c r="E43" s="27"/>
    </row>
    <row r="44" spans="1:5" ht="13.5" thickBot="1">
      <c r="A44" s="28"/>
      <c r="B44" s="100"/>
      <c r="C44" s="112">
        <f>C43/10</f>
        <v>0</v>
      </c>
      <c r="D44" s="112"/>
      <c r="E44" s="29"/>
    </row>
    <row r="45" ht="12.75">
      <c r="B45" s="68" t="str">
        <f>Assumptions!B18</f>
        <v>* input based on demand &amp; consumption at customer location exclusive of application of distribution loss factors </v>
      </c>
    </row>
    <row r="47" spans="2:4" ht="34.5" customHeight="1">
      <c r="B47" s="105" t="str">
        <f>Assumptions!$B$1</f>
        <v>Disclaimer:
EirGrid has provided this program as an aid to Suppliers and Demand Customers. Although every effort has been made to ensure the accuracy of the material contained in this spreadsheet, complete accuracy cannot be guaranteed. EirGrid cannot accept any responsibility whatsoever for loss or damage occasioned or claimed to have been occasioned, in part or in full, as a consequence of any person acting, or refraining from acting, as a result of a matter contained in this spreadsheet.</v>
      </c>
      <c r="C47" s="105"/>
      <c r="D47" s="105"/>
    </row>
  </sheetData>
  <mergeCells count="44">
    <mergeCell ref="C11:D11"/>
    <mergeCell ref="C3:D3"/>
    <mergeCell ref="C4:D4"/>
    <mergeCell ref="C5:D5"/>
    <mergeCell ref="C6:D6"/>
    <mergeCell ref="C7:D7"/>
    <mergeCell ref="C8:D8"/>
    <mergeCell ref="C9:D9"/>
    <mergeCell ref="C10:D10"/>
    <mergeCell ref="C15:D15"/>
    <mergeCell ref="C14:D14"/>
    <mergeCell ref="C13:D13"/>
    <mergeCell ref="C12:D12"/>
    <mergeCell ref="C19:D19"/>
    <mergeCell ref="C18:D18"/>
    <mergeCell ref="C17:D17"/>
    <mergeCell ref="C16:D16"/>
    <mergeCell ref="C44:D44"/>
    <mergeCell ref="C21:D21"/>
    <mergeCell ref="C20:D20"/>
    <mergeCell ref="C24:D24"/>
    <mergeCell ref="C25:D25"/>
    <mergeCell ref="C27:D27"/>
    <mergeCell ref="C28:D28"/>
    <mergeCell ref="C30:D30"/>
    <mergeCell ref="C31:D31"/>
    <mergeCell ref="C33:D33"/>
    <mergeCell ref="B47:D47"/>
    <mergeCell ref="C2:D2"/>
    <mergeCell ref="C22:D22"/>
    <mergeCell ref="B43:B44"/>
    <mergeCell ref="C29:D29"/>
    <mergeCell ref="C32:D32"/>
    <mergeCell ref="B40:B41"/>
    <mergeCell ref="C35:D35"/>
    <mergeCell ref="C26:D26"/>
    <mergeCell ref="C23:D23"/>
    <mergeCell ref="C34:D34"/>
    <mergeCell ref="C41:D41"/>
    <mergeCell ref="C43:D43"/>
    <mergeCell ref="C36:D36"/>
    <mergeCell ref="C37:D37"/>
    <mergeCell ref="C38:D38"/>
    <mergeCell ref="C40:D40"/>
  </mergeCells>
  <printOptions horizontalCentered="1"/>
  <pageMargins left="0.75" right="0.75" top="1" bottom="1" header="0.5" footer="0.5"/>
  <pageSetup fitToHeight="1" fitToWidth="1" horizontalDpi="600" verticalDpi="600" orientation="portrait" paperSize="9" scale="96" r:id="rId2"/>
  <legacyDrawing r:id="rId1"/>
</worksheet>
</file>

<file path=xl/worksheets/sheet5.xml><?xml version="1.0" encoding="utf-8"?>
<worksheet xmlns="http://schemas.openxmlformats.org/spreadsheetml/2006/main" xmlns:r="http://schemas.openxmlformats.org/officeDocument/2006/relationships">
  <sheetPr codeName="Sheet3"/>
  <dimension ref="A2:H19"/>
  <sheetViews>
    <sheetView showGridLines="0" zoomScale="125" zoomScaleNormal="125" workbookViewId="0" topLeftCell="A1">
      <selection activeCell="B3" sqref="B3"/>
    </sheetView>
  </sheetViews>
  <sheetFormatPr defaultColWidth="9.140625" defaultRowHeight="12.75"/>
  <cols>
    <col min="1" max="1" width="41.8515625" style="0" customWidth="1"/>
    <col min="2" max="2" width="22.00390625" style="0" bestFit="1" customWidth="1"/>
    <col min="3" max="3" width="2.28125" style="0" customWidth="1"/>
    <col min="4" max="4" width="8.00390625" style="0" customWidth="1"/>
    <col min="5" max="5" width="8.28125" style="0" customWidth="1"/>
    <col min="6" max="6" width="14.8515625" style="0" bestFit="1" customWidth="1"/>
    <col min="7" max="7" width="19.00390625" style="0" bestFit="1" customWidth="1"/>
    <col min="8" max="8" width="14.140625" style="0" bestFit="1" customWidth="1"/>
    <col min="10" max="10" width="2.00390625" style="0" customWidth="1"/>
  </cols>
  <sheetData>
    <row r="2" spans="1:5" ht="12.75">
      <c r="A2" s="4" t="s">
        <v>39</v>
      </c>
      <c r="B2" s="4" t="s">
        <v>64</v>
      </c>
      <c r="D2" s="33" t="s">
        <v>29</v>
      </c>
      <c r="E2" s="33"/>
    </row>
    <row r="3" spans="1:7" ht="12.75">
      <c r="A3" s="72" t="s">
        <v>6</v>
      </c>
      <c r="B3" s="73">
        <v>1254.98</v>
      </c>
      <c r="D3" s="4" t="s">
        <v>49</v>
      </c>
      <c r="E3" s="4" t="s">
        <v>30</v>
      </c>
      <c r="F3" s="4" t="s">
        <v>31</v>
      </c>
      <c r="G3" s="4" t="s">
        <v>48</v>
      </c>
    </row>
    <row r="4" spans="1:7" ht="12.75">
      <c r="A4" s="72" t="s">
        <v>33</v>
      </c>
      <c r="B4" s="73">
        <v>1053.1217</v>
      </c>
      <c r="D4" s="76">
        <v>1</v>
      </c>
      <c r="E4" s="80">
        <v>1</v>
      </c>
      <c r="F4" s="80">
        <v>1</v>
      </c>
      <c r="G4" s="77" t="s">
        <v>47</v>
      </c>
    </row>
    <row r="5" spans="1:7" ht="12.75">
      <c r="A5" s="72" t="s">
        <v>25</v>
      </c>
      <c r="B5" s="74">
        <v>4.3337</v>
      </c>
      <c r="D5" s="76">
        <v>2</v>
      </c>
      <c r="E5" s="80">
        <v>1.019</v>
      </c>
      <c r="F5" s="80">
        <v>1.016</v>
      </c>
      <c r="G5" s="77" t="s">
        <v>44</v>
      </c>
    </row>
    <row r="6" spans="1:7" ht="12.75">
      <c r="A6" s="72" t="s">
        <v>7</v>
      </c>
      <c r="B6" s="74">
        <v>691.657</v>
      </c>
      <c r="D6" s="76">
        <v>3</v>
      </c>
      <c r="E6" s="80">
        <v>1.043</v>
      </c>
      <c r="F6" s="80">
        <v>1.036</v>
      </c>
      <c r="G6" s="77" t="s">
        <v>45</v>
      </c>
    </row>
    <row r="7" spans="1:7" ht="12.75">
      <c r="A7" s="72" t="s">
        <v>8</v>
      </c>
      <c r="B7" s="74">
        <v>1.9959</v>
      </c>
      <c r="D7" s="76">
        <v>4</v>
      </c>
      <c r="E7" s="80">
        <v>1.092</v>
      </c>
      <c r="F7" s="80">
        <v>1.078</v>
      </c>
      <c r="G7" s="77" t="s">
        <v>46</v>
      </c>
    </row>
    <row r="8" spans="1:5" ht="12.75">
      <c r="A8" s="72" t="s">
        <v>9</v>
      </c>
      <c r="B8" s="74">
        <v>2.33</v>
      </c>
      <c r="D8" s="12">
        <v>1</v>
      </c>
      <c r="E8" s="9" t="s">
        <v>51</v>
      </c>
    </row>
    <row r="9" spans="1:8" ht="12.75">
      <c r="A9" s="72" t="s">
        <v>95</v>
      </c>
      <c r="B9" s="74">
        <v>0.3563</v>
      </c>
      <c r="D9" s="1"/>
      <c r="F9" s="1"/>
      <c r="G9" s="1"/>
      <c r="H9" s="1"/>
    </row>
    <row r="10" spans="1:8" ht="12.75">
      <c r="A10" s="72" t="s">
        <v>87</v>
      </c>
      <c r="B10" s="75" t="s">
        <v>96</v>
      </c>
      <c r="D10" s="4" t="s">
        <v>0</v>
      </c>
      <c r="F10" s="4" t="s">
        <v>49</v>
      </c>
      <c r="G10" s="33" t="s">
        <v>52</v>
      </c>
      <c r="H10" s="4" t="s">
        <v>78</v>
      </c>
    </row>
    <row r="11" spans="4:8" ht="12.75">
      <c r="D11" s="78">
        <v>0.215</v>
      </c>
      <c r="F11" s="76">
        <v>0</v>
      </c>
      <c r="G11" s="79" t="s">
        <v>24</v>
      </c>
      <c r="H11" s="76">
        <f>IF(TARIFF_SELECT=G11,1,0)</f>
        <v>0</v>
      </c>
    </row>
    <row r="12" spans="6:8" ht="12.75">
      <c r="F12" s="76">
        <v>1</v>
      </c>
      <c r="G12" s="79" t="s">
        <v>4</v>
      </c>
      <c r="H12" s="76">
        <v>1</v>
      </c>
    </row>
    <row r="13" spans="6:8" ht="12.75">
      <c r="F13" s="76">
        <v>2</v>
      </c>
      <c r="G13" s="79" t="s">
        <v>32</v>
      </c>
      <c r="H13" s="76">
        <f>IF(TARIFF_SELECT=G13,1,0)</f>
        <v>0</v>
      </c>
    </row>
    <row r="14" spans="6:7" ht="12.75">
      <c r="F14" s="10">
        <f>IF(Assumptions!C11&lt;0.5,0,F19)</f>
        <v>1</v>
      </c>
      <c r="G14" s="34" t="str">
        <f>VLOOKUP(F14,TARIFFS,2,FALSE)</f>
        <v>DTS-T</v>
      </c>
    </row>
    <row r="16" spans="6:7" ht="12.75">
      <c r="F16" s="4" t="s">
        <v>49</v>
      </c>
      <c r="G16" s="33" t="s">
        <v>50</v>
      </c>
    </row>
    <row r="17" spans="6:7" ht="12.75">
      <c r="F17" s="76">
        <v>1</v>
      </c>
      <c r="G17" s="81" t="s">
        <v>41</v>
      </c>
    </row>
    <row r="18" spans="6:7" ht="12.75">
      <c r="F18" s="76">
        <v>2</v>
      </c>
      <c r="G18" s="81" t="s">
        <v>42</v>
      </c>
    </row>
    <row r="19" spans="6:7" ht="12.75">
      <c r="F19" s="10">
        <v>1</v>
      </c>
      <c r="G19" s="32" t="s">
        <v>43</v>
      </c>
    </row>
  </sheetData>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ESB 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 A. Short</dc:creator>
  <cp:keywords/>
  <dc:description/>
  <cp:lastModifiedBy>Administrator</cp:lastModifiedBy>
  <cp:lastPrinted>2004-04-05T10:29:41Z</cp:lastPrinted>
  <dcterms:created xsi:type="dcterms:W3CDTF">2000-02-24T15:48:59Z</dcterms:created>
  <dcterms:modified xsi:type="dcterms:W3CDTF">2009-10-05T13:48:49Z</dcterms:modified>
  <cp:category/>
  <cp:version/>
  <cp:contentType/>
  <cp:contentStatus/>
</cp:coreProperties>
</file>